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ikhamr3\Desktop\"/>
    </mc:Choice>
  </mc:AlternateContent>
  <bookViews>
    <workbookView xWindow="0" yWindow="0" windowWidth="19170" windowHeight="11460"/>
  </bookViews>
  <sheets>
    <sheet name="فرم کارنامه" sheetId="1" r:id="rId1"/>
    <sheet name="نتایج حاصل از خودارزیابی" sheetId="6" r:id="rId2"/>
    <sheet name="Sheet2" sheetId="2" state="hidden" r:id="rId3"/>
  </sheets>
  <definedNames>
    <definedName name="_xlnm._FilterDatabase" localSheetId="0" hidden="1">'فرم کارنامه'!$A$2:$K$146</definedName>
    <definedName name="etebar">Table2[اعتبار ماده 72]</definedName>
    <definedName name="iman">Table5[سامانه باروری سالم]</definedName>
    <definedName name="karane">Sheet2!$A$2:$A$4</definedName>
    <definedName name="nafaas">Table3[نفس]</definedName>
    <definedName name="nafas">Table3[[#All],[نفس]]</definedName>
    <definedName name="پرداخت_کارانه_پلکانی_صرفا_یکی_از_سال_های_1401_یا_1402">Sheet2!$A$2:$A$4</definedName>
    <definedName name="کارانه">Sheet2!$A$1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 l="1"/>
  <c r="F29" i="6"/>
  <c r="G28" i="6"/>
  <c r="F28" i="6"/>
  <c r="G27" i="6"/>
  <c r="F27" i="6"/>
  <c r="G26" i="6"/>
  <c r="F26" i="6"/>
  <c r="G25" i="6"/>
  <c r="F25" i="6"/>
  <c r="G24" i="6"/>
  <c r="F24" i="6"/>
  <c r="G23" i="6"/>
  <c r="F23" i="6"/>
  <c r="G22" i="6"/>
  <c r="F22" i="6"/>
  <c r="G21" i="6"/>
  <c r="F21" i="6"/>
  <c r="G20" i="6"/>
  <c r="F20" i="6"/>
  <c r="G19" i="6"/>
  <c r="F19" i="6"/>
  <c r="F18" i="6"/>
  <c r="G17" i="6"/>
  <c r="F17" i="6"/>
  <c r="G16" i="6"/>
  <c r="F16" i="6"/>
  <c r="H9" i="6"/>
  <c r="F9" i="6"/>
  <c r="H8" i="6"/>
  <c r="F8" i="6"/>
  <c r="I139" i="1" l="1"/>
  <c r="I123" i="1"/>
  <c r="I71" i="1"/>
  <c r="I105" i="1"/>
  <c r="I20" i="1" l="1"/>
  <c r="I25" i="1"/>
  <c r="N139" i="1"/>
  <c r="N123" i="1"/>
  <c r="N20" i="1"/>
  <c r="I97" i="1" l="1"/>
  <c r="N97" i="1" s="1"/>
  <c r="N71" i="1"/>
  <c r="I51" i="1"/>
  <c r="N51" i="1" s="1"/>
  <c r="I45" i="1"/>
  <c r="N45" i="1" s="1"/>
  <c r="I37" i="1" l="1"/>
  <c r="N37" i="1" s="1"/>
  <c r="I27" i="1" l="1"/>
  <c r="N27" i="1" s="1"/>
  <c r="I59" i="1"/>
  <c r="N59" i="1" s="1"/>
  <c r="I57" i="1"/>
  <c r="N57" i="1" s="1"/>
  <c r="I33" i="1"/>
  <c r="N33" i="1" s="1"/>
  <c r="G18" i="6" s="1"/>
  <c r="I8" i="1"/>
  <c r="I6" i="1"/>
  <c r="I3" i="1"/>
  <c r="N3" i="1" s="1"/>
  <c r="N105" i="1"/>
  <c r="I12" i="1"/>
  <c r="N12" i="1" s="1"/>
  <c r="I79" i="1"/>
  <c r="N79" i="1" s="1"/>
  <c r="I32" i="1"/>
  <c r="I4" i="1"/>
  <c r="N4" i="1" s="1"/>
  <c r="I49" i="1"/>
  <c r="N49" i="1" s="1"/>
  <c r="I47" i="1"/>
  <c r="N47" i="1" s="1"/>
  <c r="I43" i="1"/>
  <c r="I28" i="1"/>
  <c r="N28" i="1" s="1"/>
  <c r="N25" i="1"/>
  <c r="I16" i="1"/>
  <c r="N16" i="1" s="1"/>
  <c r="I77" i="1"/>
  <c r="N77" i="1" s="1"/>
  <c r="I21" i="1"/>
  <c r="N21" i="1" s="1"/>
  <c r="I131" i="1"/>
  <c r="N131" i="1" s="1"/>
  <c r="I141" i="1"/>
  <c r="I137" i="1"/>
  <c r="N137" i="1" s="1"/>
  <c r="I135" i="1"/>
  <c r="N135" i="1" s="1"/>
  <c r="N141" i="1" l="1"/>
  <c r="I133" i="1"/>
  <c r="N133" i="1" s="1"/>
  <c r="I117" i="1"/>
  <c r="N117" i="1" s="1"/>
  <c r="I119" i="1"/>
  <c r="N119" i="1" s="1"/>
  <c r="I121" i="1"/>
  <c r="N121" i="1" s="1"/>
  <c r="I125" i="1"/>
  <c r="N125" i="1" s="1"/>
  <c r="I127" i="1"/>
  <c r="N127" i="1" s="1"/>
  <c r="I129" i="1"/>
  <c r="N129" i="1" s="1"/>
  <c r="I115" i="1"/>
  <c r="N115" i="1" s="1"/>
  <c r="I107" i="1"/>
  <c r="N107" i="1" s="1"/>
  <c r="I109" i="1"/>
  <c r="N109" i="1" s="1"/>
  <c r="I111" i="1"/>
  <c r="N111" i="1" s="1"/>
  <c r="I113" i="1"/>
  <c r="N113" i="1" s="1"/>
  <c r="I95" i="1"/>
  <c r="N95" i="1" s="1"/>
  <c r="I83" i="1"/>
  <c r="N83" i="1" s="1"/>
  <c r="I85" i="1"/>
  <c r="N85" i="1" s="1"/>
  <c r="I87" i="1"/>
  <c r="I89" i="1"/>
  <c r="N89" i="1" s="1"/>
  <c r="I91" i="1"/>
  <c r="N91" i="1" s="1"/>
  <c r="I93" i="1"/>
  <c r="N93" i="1" s="1"/>
  <c r="I99" i="1"/>
  <c r="N99" i="1" s="1"/>
  <c r="I101" i="1"/>
  <c r="N101" i="1" s="1"/>
  <c r="I103" i="1"/>
  <c r="N103" i="1" s="1"/>
  <c r="I81" i="1"/>
  <c r="N81" i="1" s="1"/>
  <c r="I75" i="1"/>
  <c r="N75" i="1" s="1"/>
  <c r="I73" i="1"/>
  <c r="N73" i="1" s="1"/>
  <c r="I69" i="1"/>
  <c r="N69" i="1" s="1"/>
  <c r="I67" i="1"/>
  <c r="N67" i="1" s="1"/>
  <c r="I65" i="1"/>
  <c r="N65" i="1" s="1"/>
  <c r="I63" i="1"/>
  <c r="N63" i="1" s="1"/>
  <c r="I61" i="1"/>
  <c r="N61" i="1" s="1"/>
  <c r="I55" i="1"/>
  <c r="N55" i="1" s="1"/>
  <c r="I53" i="1"/>
  <c r="N53" i="1" s="1"/>
  <c r="N43" i="1"/>
  <c r="I41" i="1"/>
  <c r="N41" i="1" s="1"/>
  <c r="I39" i="1"/>
  <c r="N39" i="1" s="1"/>
  <c r="I35" i="1"/>
  <c r="N35" i="1" s="1"/>
  <c r="N87" i="1" l="1"/>
  <c r="N32" i="1"/>
  <c r="I30" i="1"/>
  <c r="I10" i="1"/>
  <c r="N10" i="1" s="1"/>
  <c r="N30" i="1" l="1"/>
  <c r="I23" i="1"/>
  <c r="N23" i="1" s="1"/>
  <c r="I18" i="1"/>
  <c r="N18" i="1" s="1"/>
  <c r="I14" i="1"/>
  <c r="N14" i="1" s="1"/>
  <c r="N8" i="1"/>
  <c r="N6" i="1"/>
</calcChain>
</file>

<file path=xl/sharedStrings.xml><?xml version="1.0" encoding="utf-8"?>
<sst xmlns="http://schemas.openxmlformats.org/spreadsheetml/2006/main" count="583" uniqueCount="360">
  <si>
    <t>نام دانشگاه/دانشکده  علوم پزشکی</t>
  </si>
  <si>
    <t>حیطه شاخص</t>
  </si>
  <si>
    <t>عنوان شاخص</t>
  </si>
  <si>
    <t>ضریب</t>
  </si>
  <si>
    <t>استاندارد سنجه</t>
  </si>
  <si>
    <t>تعداد جلسات ستاد جوانی جمعیت تشکیل شده با حضور ریاست دانشگاه/دانشکده</t>
  </si>
  <si>
    <t xml:space="preserve"> ریاست دانشگاه</t>
  </si>
  <si>
    <t>تعداد مورتالیتی مادر باردار</t>
  </si>
  <si>
    <t>ردیف شاخص</t>
  </si>
  <si>
    <t>باروری سالم</t>
  </si>
  <si>
    <t>فرهنگ سازی و رسانه</t>
  </si>
  <si>
    <t>شاخص های کارنامه جوانی جمعیت دانشگاه ها/دانشکده ها در سال 1403</t>
  </si>
  <si>
    <t>درصد افزایش زایمان طبیعی نخست زا</t>
  </si>
  <si>
    <t>تعداد سزارین های انجام شده</t>
  </si>
  <si>
    <t xml:space="preserve">درصد مادران شرکت کننده در کلاس آمادگی زایمان </t>
  </si>
  <si>
    <t>تعداد کل زایمان ها</t>
  </si>
  <si>
    <t>تعداد مادران باردار دریافت کننده محتوای آموزشی ماده 47</t>
  </si>
  <si>
    <t>تعداد مراکز درمانی ناباروری خصوصی عقد قرارداد با بیمه پایه</t>
  </si>
  <si>
    <t>فرزند آوری</t>
  </si>
  <si>
    <t>تعداد کل بهورزان و مراقبین سلامت واجد شرایط</t>
  </si>
  <si>
    <t xml:space="preserve">تعداد مراکز آزمایشگاهی بیمارستان های دولتی به سامانه ماده 54 </t>
  </si>
  <si>
    <t xml:space="preserve">تعداد مراکز آزمایشگاهی مراکز بهداشتی متصل به سامانه ماده 54 </t>
  </si>
  <si>
    <t xml:space="preserve">تعداد مراکز آزمایشگاهی خصوصی متصل به سامانه ماده 54 </t>
  </si>
  <si>
    <t>تعداد  کل مراکز آزمایشگاهی خصوصی تحت پوشش دانشگاه/دانشکده</t>
  </si>
  <si>
    <t>تعداد  کل مراکز آزمایشگاهی مراکز بهداشتی  تحت پوشش دانشگاه/دانشکده</t>
  </si>
  <si>
    <t>تعداد کل مراکز آزمایشگاهی بیمارستانی تحت پوشش دانشگاه/دانشکده</t>
  </si>
  <si>
    <t xml:space="preserve">آموزش </t>
  </si>
  <si>
    <t>تعداد بهورزان، مراقبین سلامت و ماما مراقب های آموزش دیده</t>
  </si>
  <si>
    <t>تعداد کل کارکنان تحت پوشش دانشگاه/دانشکده در سال 1403</t>
  </si>
  <si>
    <t>دانشجویان</t>
  </si>
  <si>
    <t>خانواده دانشگاه/دانشکده</t>
  </si>
  <si>
    <t>تعداد کل کارکنان متاهل زیر 50 سال</t>
  </si>
  <si>
    <t>پیاده سازی مواد قانون حمایت از خانواده و جوانی جمعیت</t>
  </si>
  <si>
    <t>تعداد کل مادران مشمول مرخصی زایمان</t>
  </si>
  <si>
    <t>اجرای تقویت ساختار جوانی جمعیت در دانشگاه/دانشکده علوم پزشکی بر اساس دستور مقام عالی وزارت</t>
  </si>
  <si>
    <t>حفظ حیات جنین</t>
  </si>
  <si>
    <t>درصد زوجین نابارور نشان دار شده در سطح 1</t>
  </si>
  <si>
    <t>تعداد زوجین نابارور نشان دار شده در سطح 1</t>
  </si>
  <si>
    <t>A</t>
  </si>
  <si>
    <t>درصد شکایات رسیدگی شده در سامانه 190 با موضوع حمایت از خانواده و جوانی جمعیت</t>
  </si>
  <si>
    <t>نظارت و ارزیابی</t>
  </si>
  <si>
    <t>تعداد شکایات رسیدگی شده در سامانه 190</t>
  </si>
  <si>
    <t>بر اساس مکاتبات ارسالی و نظر مرکز نظارت بر درمان معاونت درمان ستاد  وزارت</t>
  </si>
  <si>
    <t>ارائه گزارش مستند و تصویری بصورت الکترونیکی در قالب  درخواستی قرارگاه جوانی جمعیت(طبق راهنما)</t>
  </si>
  <si>
    <t>ستاد مرکزی جوانی جمعیت</t>
  </si>
  <si>
    <t xml:space="preserve">  خلاقیت مورد تایید ستاد مرکزی جوانی جمعیت جوانی جمعیت ستاد وزارت متبوع جهت اجرای مفاد قانون</t>
  </si>
  <si>
    <t xml:space="preserve"> خلاقیت مورد تایید ستاد مرکزی جوانی جمعیت ستاد وزارت متبوع جهت اجرای مفاد قانون</t>
  </si>
  <si>
    <t>ارائه گزارش مستند و تصویری بصورت الکترونیکی در قالب فرمت درخواستی ستاد مرکزی جوانی جمعیت(طبق راهنما)</t>
  </si>
  <si>
    <t>*100</t>
  </si>
  <si>
    <t>دبیرخانه ستاد جوانی جمعیت دانشگاه/دانشکده در معاونت بهداشت</t>
  </si>
  <si>
    <t>مسئول شاخص</t>
  </si>
  <si>
    <t xml:space="preserve">معاونت توسعه </t>
  </si>
  <si>
    <t>گروه سلامت ماداران در معاونت بهداشت</t>
  </si>
  <si>
    <t>گسترش شبکه در معاونت بهداشت</t>
  </si>
  <si>
    <t>راه اندازی مراکز نفس</t>
  </si>
  <si>
    <t>روابط عمومی</t>
  </si>
  <si>
    <t>معاونت درمان</t>
  </si>
  <si>
    <t>گروه مامایی در معاونت درمان</t>
  </si>
  <si>
    <t>معاونت بهداشت</t>
  </si>
  <si>
    <t>گروه نوزادان و کودکان معاونت بهداشت</t>
  </si>
  <si>
    <t xml:space="preserve">معاونت درمان/معاونت بهداشت/فناوری اطلاعات </t>
  </si>
  <si>
    <t>مدیریت جوانی جمعیت، سلامت خانواده و مدارس در معاونت بهداشت</t>
  </si>
  <si>
    <t>معاونت آموزش</t>
  </si>
  <si>
    <t>تعداد کل متخصصین زنان (شاغل در بیمارستان های تحت پوشش و مطب دار و...)</t>
  </si>
  <si>
    <t>معاونت فرهنگی</t>
  </si>
  <si>
    <t>معاونت توسعه/معاونت درمان</t>
  </si>
  <si>
    <t>معاونت توسعه</t>
  </si>
  <si>
    <t>معاونت غذا و دارو 
و معاونت درمان</t>
  </si>
  <si>
    <t xml:space="preserve"> دفتر بازرسی</t>
  </si>
  <si>
    <t xml:space="preserve">گروه سلامت محیط کار </t>
  </si>
  <si>
    <t xml:space="preserve">معاونت غذا و دارو </t>
  </si>
  <si>
    <t xml:space="preserve">دارای امتیاز منفی </t>
  </si>
  <si>
    <t xml:space="preserve">حداکثر امتیاز </t>
  </si>
  <si>
    <t xml:space="preserve">دارای امتیاز مثبت </t>
  </si>
  <si>
    <t>معاونت بهداشت/معاونت درمان</t>
  </si>
  <si>
    <t>ریاست دانشگاه</t>
  </si>
  <si>
    <t>معاونت غذا و دارو</t>
  </si>
  <si>
    <t>معاونت پژوهش</t>
  </si>
  <si>
    <t xml:space="preserve">معاونت آموزش </t>
  </si>
  <si>
    <t>دفتر بازرسی</t>
  </si>
  <si>
    <t>امتیاز کسب شده</t>
  </si>
  <si>
    <t>پدافند غیرعامل (اورژانس)</t>
  </si>
  <si>
    <t>امتیاز های موجود</t>
  </si>
  <si>
    <t>عملکرد دانشگاه شما</t>
  </si>
  <si>
    <t>دبیرخانه ستاد جوانی جمعیت</t>
  </si>
  <si>
    <t>پدافند (اورژانس)</t>
  </si>
  <si>
    <t>معاونت پژوهشی/معاونت توسعه</t>
  </si>
  <si>
    <t xml:space="preserve">فناوری اطلاعات </t>
  </si>
  <si>
    <t>نمای اولیه از عملکرد دانشگاه/دانشکده شما بر اساس خود ارزیابی انجام شده</t>
  </si>
  <si>
    <t>تعداد موالید مادران 35 سال به بالا</t>
  </si>
  <si>
    <t>اطلاعات مورد نیاز جهت محاسبه شاخص</t>
  </si>
  <si>
    <t>اطلاعات مورد نیاز 1402</t>
  </si>
  <si>
    <t>اطلاعات مورد نیاز 1403</t>
  </si>
  <si>
    <t>تعداد کل مصوبات ستاد جوانی جمعیت دانشگاه/دانشکده</t>
  </si>
  <si>
    <t xml:space="preserve">تعداد مصوبات اجرا شده </t>
  </si>
  <si>
    <t>درصد کارکنان آموزش دیده ضمن خدمت درخصوص قانون حمایت از خانواده و جوانی جمعیت در سال 1403</t>
  </si>
  <si>
    <t>نهاد نمایندگی مقام معظم رهبری</t>
  </si>
  <si>
    <t>نهاد نمایندگی مقام معظم رهبری/معاونت آموزش</t>
  </si>
  <si>
    <t>تخصیص حداقل 10 درصد درآمد اختصاصی دانشگاه/دانشکده به احداث، تکمیل، تامین و تجهیز خوابگاه های متاهلی</t>
  </si>
  <si>
    <t>کل اعتبار تخصیص داده شده به دانشگاه/دانشکده در سال 1403</t>
  </si>
  <si>
    <t>تعداد کل دانشجویان متقاضی خوابگاه متاهلی</t>
  </si>
  <si>
    <t xml:space="preserve">تعداد دانشجویان بهره مند از تمامی بندهای ماده 26  </t>
  </si>
  <si>
    <t>تعداد پزشکان و پیراپزشکان متقاضی ماده 27</t>
  </si>
  <si>
    <t>تعداد موالید کارکنان متاهل</t>
  </si>
  <si>
    <t>تعداد نفرات قبول شده در آزمون مجازی هادیان زندگی</t>
  </si>
  <si>
    <t>تعداد نفرات شرکت کننده در آزمون مجازی هادیان زندگی</t>
  </si>
  <si>
    <t>تعداد نفرات واجد شرایط دانشگاه/دانشکده</t>
  </si>
  <si>
    <t>میزان نرخ باروری کلی سال 1402 و 1403</t>
  </si>
  <si>
    <t xml:space="preserve"> اندکس مورتالیتی مادر باردار
(درصد کیفیت مراقبتهای بارداری)</t>
  </si>
  <si>
    <t>درصد کاهش مرگ‌های ناشی از تصادفات</t>
  </si>
  <si>
    <t xml:space="preserve">تعداد مرگ و میر ناشی از تصادفات جاده ای در سال های  1402 و 1403 </t>
  </si>
  <si>
    <t>تعداد موربیدیتی و مورتالیتی  مادر باردار</t>
  </si>
  <si>
    <t>درصد اعضای هیئت رئیسه، مدیران شبکه و مدیران ستادی دانشگاه/دانشکده مجرد</t>
  </si>
  <si>
    <t>درصد اعضای هیئت رئیسه، مدیران شبکه و مدیران ستادی بی فرزند و تک فرزند</t>
  </si>
  <si>
    <t>تعداد کل اعضای هیئت رئیسه، مدیران شبکه و مدیران ستادی دانشگاه/دانشکده</t>
  </si>
  <si>
    <t>تعداد اعضای هیئت رئیسه، مدیران شبکه و مدیران ستادی دانشگاه /دانشکده بی فرزند یا تک فرزند</t>
  </si>
  <si>
    <t>تعداد اعضای هیئت رئیسه، مدیران شبکه و مدیران ستادی دانشگاه /دانشکده مجرد</t>
  </si>
  <si>
    <t>درصد هزینه کرد اعتبارات جوانی جمعیت در محل شرح هزینه های اعلامی</t>
  </si>
  <si>
    <t>پرداخت کارانه پلکانی هر دو سال 1401 و 1402 صرفاً به یکی از ارائه دهندگان مستقیم یا غیر مستقیم</t>
  </si>
  <si>
    <t>پرداخت کارانه پلکانی هر دو سال 1401 و 1402 به هر دو ارائه دهنده مستقیم و غیر مستقیم</t>
  </si>
  <si>
    <t>کارانه</t>
  </si>
  <si>
    <t>تعداد مورتالیتی کودکان زیر 5 سال</t>
  </si>
  <si>
    <t>تعداد کل بهورزان و مراقبین سلامت منجر به تولد زنده</t>
  </si>
  <si>
    <t xml:space="preserve">تعداد سریال، موشن گرافی یا تیزر ساخته شده در صدا و سیمای استانی در راستای اشاعه فرهنگ فرزندآوری و جوانی جمعیت به سفارش دانشگاه/دانشکده </t>
  </si>
  <si>
    <t>تعداد خبرهای منتشر شده در رسانه‌های مختلف (صدا، سیما، روزنامه‌ها، مجلات، کانال‌های مجازی شهرستانی و خبرگزاری‌ها) در خصوص حمایت از خانواده و جوانی جمعیت</t>
  </si>
  <si>
    <t xml:space="preserve">تعداد کل پورتال ها یا ساب پورتال های فعال دانشگاه/دانشکده </t>
  </si>
  <si>
    <t>پوشش رسانه ای اخبار مربوط به حمایت از خانواده و جوانی جمعیت در رسانه های ارتباط جمعی</t>
  </si>
  <si>
    <t>تعداد مراکز (خانه بهداشت، پایگاه بهداشت، مرکز خدمات جامع سلامت، مراکز آموزش ازدواج و ...) دارای پوستر نصب شده یا دیوار نویسی جمعیتی</t>
  </si>
  <si>
    <t>تعداد کل مراکز بهداشتی تحت پوشش دانشگاه/دانشکده</t>
  </si>
  <si>
    <t>تعداد برنامه‌های رادیویی و تلویزیونی با موضوع جوانی جمعیت با حضور کارشناسان دانشگاه/دانشکده</t>
  </si>
  <si>
    <t>تعداد زایمان های طبیعی نخست زای ایرانی</t>
  </si>
  <si>
    <t xml:space="preserve"> پرداخت کارانه پلکانی صرفا یکی از سال های 1401 یا 1402 یا عدم پرداخت هر دو</t>
  </si>
  <si>
    <t xml:space="preserve">درصد دانشجویان بهره مند از  تمامی بندهای ماده 26 قانون </t>
  </si>
  <si>
    <t>تعداد دانشجویان مشمول تمامی بندهای ماده 26  در کلیه رشته ها و دستیاران</t>
  </si>
  <si>
    <t xml:space="preserve">
درصد پوشش تبلیغات محیطی مراکز بهداشتی دانشگاه/دانشکده  با موضوع جوانی جمعیت</t>
  </si>
  <si>
    <t>تعداد تکالیف اجرا شده طبق مکاتبات شماره 300/1639 مورخ 1403/9/2 و شماره 212/1197 مورخ 1403/5/2 و شماره  300/12791 د به همراه ابلاغ پست ها و ردیف های ذکر شده</t>
  </si>
  <si>
    <t xml:space="preserve"> مسئول احصاء اطلاعات مورد نیاز جهت محاسبه شاخص</t>
  </si>
  <si>
    <t>بیش از 80 درصد: 1/5 امتیاز؛ 60 تا 80 درصد: 1 امتیاز؛ 40 تا 60 درصد: 0/5 امتیاز؛ کمتر از 40 درصد: 0 امتیاز</t>
  </si>
  <si>
    <t>افزایش: 2 امتیاز؛ عدم تغییر: 1 امتیاز؛ کاهش: 0 امتیاز</t>
  </si>
  <si>
    <t>حداقل 20 درصد کاهش: 1/5 امتیاز؛ 15 تا 20 درصد کاهش: 1 امتیاز؛ 10 تا 15 درصد کاهش: 0/5 امتیاز؛ حداکثر 10 درصد کاهش: 0/25 امتیاز؛ عدم تغییر یا افزایش: 0 امتیاز</t>
  </si>
  <si>
    <t>کاهش: 0/5 امتیاز؛ عدم تغییر یا  افزایش: 0 امتیاز</t>
  </si>
  <si>
    <t>کمتر از 20 درصد: 1 امتیاز؛ 20 تا 50 درصد: 0/5 امتیاز؛ بیش از 50 درصد: 0 امتیاز</t>
  </si>
  <si>
    <t>کاهش: 1 امتیاز؛ عدم تغییر: 0/5 امتیاز؛ افزایش: 0 امتیاز</t>
  </si>
  <si>
    <t>درصدکاهش اندکس مورتالیتی کودک زیر 5 سال نسبت به سال گذشته</t>
  </si>
  <si>
    <t xml:space="preserve">جلب مشارکت و کسب رضایت از گروه های مردمی، جهادی، بسیج و سمن ها </t>
  </si>
  <si>
    <t xml:space="preserve">حداقل 5 درصد کاهش: 1/5 امتیاز؛ 4 تا 5 درصد کاهش: 1 امتیاز؛ حداکثر 4 درصد کاهش: 0/5 امتیاز؛ عدم تغییر: 0 امتیاز  </t>
  </si>
  <si>
    <t>بیش از 80 درصد: 1/5 امتیاز؛ 70 تا 80 درصد: 1/25 امتیاز؛ 50 تا 70 درصد: 1 امتیاز؛ 30 تا 50 درصد: 0/5 امتیاز؛ کمتر از 30 درصد: 0 امتیاز</t>
  </si>
  <si>
    <t xml:space="preserve">تعداد بیمارستان های تحت پوشش دانشگاه/دانشکده که موفق به اجرای تبصره ماده 49 (یک ماما به دو مادر باردار) در بلوک زایمان شدند </t>
  </si>
  <si>
    <t xml:space="preserve">تعداد کل بیمارستان های دارای بلوک زایمان تحت پوشش دانشگاه/دانشکده </t>
  </si>
  <si>
    <t xml:space="preserve"> تعداد مادران شرکت کننده در حداقل 5 جلسه از کلاس آمادگی زایمان </t>
  </si>
  <si>
    <t>تعدادکل زایمان های نخست زای ایرانی</t>
  </si>
  <si>
    <t>تعداد کل بانوان متاهل 35 سال به بالا</t>
  </si>
  <si>
    <t>تعداد مادران باردار دریافت کننده حداقل یکبار مراقبت بارداری</t>
  </si>
  <si>
    <t>تعداد زایمان های بی درد انجام شده با روش اپی دورال و اسپاینال</t>
  </si>
  <si>
    <t>تعداد کل زایمان های طبیعی</t>
  </si>
  <si>
    <t xml:space="preserve">تعداد زایمان های کم درد انجام شده با روش انتونوکس و داروهای سیستمیک (پتدین) </t>
  </si>
  <si>
    <t>بیش از 80 درصد: 1 امتیاز؛ 60 تا 80 درصد: 0/75 امتیاز؛ 40 تا 60 درصد:0/5 امتیاز؛ کمتر از 40 درصد: 0 امتیاز</t>
  </si>
  <si>
    <t xml:space="preserve">حداقل 12: 1 امتیاز؛ 6 تا 12: 0/5 امتیاز؛ کمتر از 6: 0 امتیاز  </t>
  </si>
  <si>
    <t>حداقل 2: 0/5 امتیاز؛ کمتر از 2: 0 امتیاز</t>
  </si>
  <si>
    <t xml:space="preserve">حداقل24: 1 امتیاز؛ 12 تا 24: 0/5 امتیاز؛ کمتر از 12: 0 امتیاز  </t>
  </si>
  <si>
    <t xml:space="preserve"> حداقل 15: 2 امتیاز؛ 10 تا 14: 1/5 امتیاز؛ 5 تا 9: 1 امتیاز؛ 1 تا 4: 0/5 امتیاز؛ هیچ مورد: 0 امتیاز</t>
  </si>
  <si>
    <t xml:space="preserve">
5 مورد: 1/5 امتیاز؛ 4 مورد: 1 امتیاز؛ 3 مورد: 0/5 امتیاز؛ 2 مورد و کمتر: 0 امتیاز </t>
  </si>
  <si>
    <t>افزایش: 0/5 امتیاز؛ عدم تغییر یا  کاهش: 0 امتیاز</t>
  </si>
  <si>
    <t xml:space="preserve"> حداقل 5 درصد افزایش: 3 امتیاز؛ 3 تا 5 درصد افزایش: 2/5 امتیاز؛ 2 تا 3 درصد افزایش: 2 امتیاز؛ 1 تا 2 درصد افزایش: 1 امتیاز؛ حداکثر 1 درصد افزایش: 0/5 امتیاز؛ عدم تغییر یا کاهش: 0 امتیاز</t>
  </si>
  <si>
    <t xml:space="preserve"> حداقل 5 درصد افزایش:1 امتیاز؛ 3 تا 5 درصد افزایش: 0/75 امتیاز؛ 2 تا 3 درصد افزایش:0/5 امتیاز؛ 1 تا 2 درصد افزایش: 0/25 امتیاز؛ حداکثر 1 درصد افزایش یا عدم تغییر یا کاهش: 0 امتیاز</t>
  </si>
  <si>
    <t>درصد کاهش سزارین های انجام شده</t>
  </si>
  <si>
    <t>درصد افزایش موالید مادران 35 سال به بالا
نسبت به سال گذشته</t>
  </si>
  <si>
    <t>درصد پوشش مراقبت های بارداری</t>
  </si>
  <si>
    <t>تعداد موارد انجام شده:
1.دعوت از مردمی ها در تمامی جلسات ستاد جوانی جمعیت دانشگاه/دانشکده 
2.ابلاغ عضو اصلی ستاد برای یک نفر از اعضای مجمع ملی فعالان جمعیت یا سایر گروه های مردمی در صورت غیبت مجمع ملی فعالان جمعیت
3.همکاری با گروه های مردمی و پشتیبانی از آن ها 
4.اجرای طرح و برنامه مشترک با گروه های مردمی در حوزه جمعیت 
5.استفاده از ظرفیت گروه های مردمی به عنوان مربی کلاس های هنگام ازدواج، مربی حوزه جمعیت و ...</t>
  </si>
  <si>
    <t>تعداد مراکز ارائه دهنده خدمات زنان و زایمان ابلاغ شده</t>
  </si>
  <si>
    <t>تعداد کل مراکز ارائه دهنده خدمات زنان و زایمان تحت پوشش دانشگاه/دانشکده</t>
  </si>
  <si>
    <t>تعداد کل مادران باردار مراجعه کننده به مراکز بهداشتی</t>
  </si>
  <si>
    <t>ابلاغ 100 درصد: 0/5 امتیاز؛ کمتر از 100 درصد: 0 امتیاز</t>
  </si>
  <si>
    <t>تعداد کل مراکز درمان ناباروری خصوصی</t>
  </si>
  <si>
    <t>درصد اجرای منشور کرامت مادری</t>
  </si>
  <si>
    <t>درصد اتصال مراکز آزمایشگاهی بیمارستان های دولتی به سامانه ماده 54</t>
  </si>
  <si>
    <t>درصد اتصال مراکز آزمایشگاهی مراکز بهداشتی به سامانه ماده 54</t>
  </si>
  <si>
    <t>درصد اتصال مراکز آزمایشگاهی غیر دولتی (خصوصی و ...) به سامانه ماده 54</t>
  </si>
  <si>
    <t>بیش از 80 درصد: 1/5 امتیاز؛ 60 تا 80 درصد: 1 امتیاز؛ 40 تا 60 درصد: 0/5 امتیاز؛ 20 تا 40 درصد: 0/25 امتیاز؛ کمتر از 20 درصد: 0 امتیاز</t>
  </si>
  <si>
    <t>بیش از 70 درصد: 1/5 امتیاز؛ 60 تا 70 درصد: 1/25 امتیاز؛ 50 تا 60 درصد: 1 امتیاز؛ 40 تا 50 درصد: 0/5 امتیاز؛کمتر از 40 درصد: 0 امتیاز</t>
  </si>
  <si>
    <t>بیش از 70 درصد: 1 امتیاز؛ 30 تا 70 درصد: 0/5 امتیاز؛ کمتر از 30 درصد: 0 امتیاز</t>
  </si>
  <si>
    <t xml:space="preserve">تعداد کل ماماهای بلوک زایمان واجد شرایط </t>
  </si>
  <si>
    <t>میزان کل اعتبارات جوانی جمعیت تخصیص یافته به دانشگاه/دانشکده (میلیون ریال)</t>
  </si>
  <si>
    <t>تعداد کل موالید</t>
  </si>
  <si>
    <t>تعداد کل شبکه های مجازی تحت پوشش دانشگاه/دانشکده</t>
  </si>
  <si>
    <t>تعداد ماماهای بلوک زایمان آموزش دیده در حداقل یک دوره آموزشی 6 ساعته</t>
  </si>
  <si>
    <t>تعدادکارکنان بیمارستان های دارای بلوک زایمان آموزش دیده در حداقل یک جلسه آموزشی 2 ساعته</t>
  </si>
  <si>
    <t xml:space="preserve">تعدادکل کارکنان بیمارستان های دارای بلوک زایمان </t>
  </si>
  <si>
    <t>درصد ماماهای بلوک زایمان آموزش دیده 
(در یک دوره آموزشی 6 ساعته)</t>
  </si>
  <si>
    <t>درصد کارکنان بیمارستان های دارای بلوک زایمان آموزش دیده
(در یک جلسه آموزشی 2 ساعته)</t>
  </si>
  <si>
    <t>بیش از 80 درصد: 1 امتیاز؛ 50 تا 80 درصد: 0/5 امتیاز؛ کمتر از 50 درصد: 0 امتیاز</t>
  </si>
  <si>
    <t>بیش از 80 درصد: 0/5 امتیاز؛ 50 تا 80 درصد: 0/25 امتیاز؛ کمتر از 50 درصد: 0 امتیاز</t>
  </si>
  <si>
    <t>تعداد کل بیمارستان های دولتی دارای بلوک زایمان 
(آموزشی و غیرآموزشی)
تحت پوشش دانشگاه/دانشکده</t>
  </si>
  <si>
    <t xml:space="preserve">تعداد بیمارستان های اجرا کننده نوبت دهی و راهنمای مادران باردار </t>
  </si>
  <si>
    <t xml:space="preserve">تعداد مراکز خدمات جامع شهری و روستایی اجرا کننده نوبت دهی سامانه ای و راهنمای مادران باردار </t>
  </si>
  <si>
    <t>تعداد کل مراکز خدمات جامع شهری و روستایی 
تحت پوشش دانشگاه/دانشکده</t>
  </si>
  <si>
    <t>اتصال 100 درصد بیمارستان های دولتی: 1/5 امتیاز؛ حداقل 50 درصد: 1 امتیاز؛  کم تر از 50 درصد: 0 امتیاز</t>
  </si>
  <si>
    <t>اتصال 100 درصد مراکز آزمایشگاهی بهداشت: 2 امتیاز؛ حداقل 50 درصد: 1 امتیاز؛  کم تر از 50 درصد: 0 امتیاز</t>
  </si>
  <si>
    <t>اتصال و تعریف تمام کاربران واجد شرایط در سامانه باروری سالم</t>
  </si>
  <si>
    <t>سامانه باروری سالم</t>
  </si>
  <si>
    <t>وجود برخی نقایص و عدم اتصال و تعریف تمامی کاربران واجد شرایط در سامانه باروری سالم</t>
  </si>
  <si>
    <t>تعداد کل زوجین ارزیابی شده</t>
  </si>
  <si>
    <t xml:space="preserve">تعداد بانوان متاهل تحت پوشش دریافت کننده مشاوره فرزند آوری منجر به تولد زنده </t>
  </si>
  <si>
    <t>تعداد کل بانوان متاهل تحت پوشش دریافت کننده مشاوره فرزند آوری</t>
  </si>
  <si>
    <t>حداقل 20 درصد افزایش: 3 امتیاز؛ 15 تا 20 درصد افزایش: 2 امتیاز؛ 10 تا  15 درصد افزایش: 1 امتیاز؛ حداکثر 10 درصد افزایش: 0/5 امتیاز؛ عدم تغییر یا کاهش: 0 امتیاز</t>
  </si>
  <si>
    <t>بیش از 80 درصد: 1 امتیاز؛ 60 تا 80 درصد: 0/5 امتیاز؛ کمتر از 60 درصد: 0 امتیاز</t>
  </si>
  <si>
    <t>بیش از 70 درصد: 0/5 امتیاز؛ 30 تا 70 درصد: 0/25 امتیاز؛ زیر 30 درصد: 0 امتیاز</t>
  </si>
  <si>
    <t xml:space="preserve">بیش از 80 درصد: 1 امتیاز؛ 30 تا 80 درصد: 0/5 امتیاز؛ کمتر از 30 درصد: 0 امتیاز </t>
  </si>
  <si>
    <t xml:space="preserve">بیش از 70 درصد: 1 امتیاز؛ 30 تا 70 درصد: 0/5 امتیاز؛ کمتر از 30 درصد: 0 امتیاز </t>
  </si>
  <si>
    <t xml:space="preserve">بیش از 70 درصد: 2 امتیاز؛ 30 تا 70 درصد: 1 امتیاز؛ کمتر از 30 درصد: 0 امتیاز </t>
  </si>
  <si>
    <t>درصد شرکت کنندگان در 
آزمون مجازی هادیان زندگی</t>
  </si>
  <si>
    <t>درصد قبول شدگان در
 آزمون مجازی هادیان زندگی</t>
  </si>
  <si>
    <t xml:space="preserve">درصد آموزش آبشاری 
بهورزان، مراقبین سلامت و ماما مراقب ها  </t>
  </si>
  <si>
    <t>تعداد کارکنان آموزش دیده ضمن خدمت درخصوص قانون حمایت از خانواده و جوانی جمعیت در سال 1403</t>
  </si>
  <si>
    <t>درصد اعضای هیئت علمی آموزش دیده در راستای قانون حمایت از خانواده و جوانی جمعیت در سال 1403</t>
  </si>
  <si>
    <t>تعداد کل هیئت علمی تحت پوشش دانشگاه/دانشکده در سال 1403</t>
  </si>
  <si>
    <t>تعداد اعضای هیئت علمی آموزش دیده در راستای قانون حمایت از خانواده و جوانی جمعیت در سال 1403</t>
  </si>
  <si>
    <t xml:space="preserve">درصد متخصصین زنان آموزش دیده 
با موضوع حفظ حیات جنین 
شاغل در بیمارستان های تحت پوشش و مطب دار </t>
  </si>
  <si>
    <t>تعداد متخصصین زنان آموزش دیده 
با موضوع حفظ حیات جنین</t>
  </si>
  <si>
    <t>تعداد ماماهای بلوک زایمان آموزش دیده 
با موضوع حفظ حیات جنین</t>
  </si>
  <si>
    <t>تعداد کل ماماها (شاغل در بلوک زایمان بیمارستان های دولتی، غیردولتی، خصوصی و ...)</t>
  </si>
  <si>
    <t xml:space="preserve">درصد ماماهای آموزش دیده 
با موضوع حفظ حیات جنین 
شاغل در بلوک زایمان بیمارستان های دولتی، غیردولتی، خصوصی و...  </t>
  </si>
  <si>
    <t>درصد دانشجویان آموزش دیده در راستای قانون حمایت از خانواده و جوانی جمعیت در 1403</t>
  </si>
  <si>
    <t>تعداد دانشجویان آموزش دیده در راستای قانون جوانی جمعیت در سال 1403</t>
  </si>
  <si>
    <t>تعداد کل دانشجویان تحت پوشش دانشگاه/دانشکده در سال 1403</t>
  </si>
  <si>
    <t xml:space="preserve">بیش از 80 درصد: 2 امتیاز؛ 60 تا 80 درصد: 1/5 امتیاز؛40 تا 60 درصد: 1 امتیاز؛ کمتر از40 درصد: 0/5 امتیاز؛ هیچ مورد: 0 امتیاز </t>
  </si>
  <si>
    <t>تعداد خوابگاه متاهلی واگذار شده به
 دانشجویان متقاضی</t>
  </si>
  <si>
    <t>تعداد کل متقاضیان وام ازدواج و فرزند آوری</t>
  </si>
  <si>
    <t>تعداد  دانشجویان متاهل دریافت کننده وام ازدواج و فرزند آوری</t>
  </si>
  <si>
    <t>حداقل 40 درصد: 1/5 امتیاز؛ 30 تا 40 درصد: 1 امتیاز؛ 20 تا 30 درصد: 0/5 امتیاز؛ کمتر از  20 درصد: 0 امتیاز</t>
  </si>
  <si>
    <t xml:space="preserve">درصد پزشکان و پیراپزشکان بهره مند از 
ماده 27 قانون </t>
  </si>
  <si>
    <t xml:space="preserve">تعداد پزشکان و پیراپزشکان بهره مند از
امکان گذراندن تعهدات خدمت خود 
در محل سکونت خانواده </t>
  </si>
  <si>
    <t xml:space="preserve">درصد افزایش فرزند آوری در بین کارکنان 
نسبت به سال گذشته </t>
  </si>
  <si>
    <t xml:space="preserve">افزایش نرخ باروری کلی 
نسبت به سال گذشته </t>
  </si>
  <si>
    <t>درصد مادران باردار دریافت کننده 
محتوای آموزشی ماده 47</t>
  </si>
  <si>
    <t>درصد افزایش مشاوره های فرزند آوری
منجر به تولد زنده</t>
  </si>
  <si>
    <t>درصد خوابگاه های واگذار شده به 
دانشجویان متاهل</t>
  </si>
  <si>
    <t>درصد وام تخصیص داده شده ویژه دانشجویان متاهل جهت ازدواج و فرزند آوری 
در سال 1403</t>
  </si>
  <si>
    <t>تعداد کل کارکنان با حداقل دو فرزند زیر 50 سال</t>
  </si>
  <si>
    <t>تعداد کل کارکنان تک فرزند زیر 50 سال</t>
  </si>
  <si>
    <t>تعداد کارکنان تک فرزند صاحب دو فرزند شده</t>
  </si>
  <si>
    <t>تعداد کارکنان حداقل دو فرزند 
صاحب فرزند دیگر شده</t>
  </si>
  <si>
    <t>درصد کارکنان دریافت کننده تشویق مالی 
جهت ازدواج یا صاحب فرزند شدن</t>
  </si>
  <si>
    <t>تعداد کارکنان دریافت کننده تشویق مالی</t>
  </si>
  <si>
    <t>تعداد کل کارکنان 
ازدواج کرده یا صاحب فرزند شده</t>
  </si>
  <si>
    <t>تعداد کارکنان مجرد متاهل شده</t>
  </si>
  <si>
    <t>تعداد کل کارکنان مجرد</t>
  </si>
  <si>
    <t xml:space="preserve">حداقل 40 درصد افزایش: 1 امتیاز؛ 30 تا 40 درصد افزایش: 0/75 امتیاز؛ 20 تا 30 درصد افزایش: 0/5 امتیاز؛ 10 تا 20 درصد افزایش: 0/25 امتیاز؛ کمتر از 10 درصد افزایش یا عدم تغییر یا کاهش: 0 امتیاز </t>
  </si>
  <si>
    <t xml:space="preserve">بیش از 50 درصد: 1 امتیاز؛ 30 تا 50 درصد: 0/5 امتیاز؛ کمتر از 30 درصد: 0 امتیاز </t>
  </si>
  <si>
    <t>تعداد کل شرکت کنندگان آزمون استخدامی واجد شرایط</t>
  </si>
  <si>
    <t>تعداد استخدام شدگان آزمون استخدامی به ازاء تاهل و داشتن فرزند</t>
  </si>
  <si>
    <t>تعداد مادران باردار و شیرده 
شاغل شیفتی واجد شرایط</t>
  </si>
  <si>
    <t>درصد مادران شاغل باردار و شیرده 
معاف از نوبت کاری شب 
طبق بند ب ماده 17</t>
  </si>
  <si>
    <t xml:space="preserve">درصد مادران شاغل بهره مند از 
مرخصی زایمان 9 تا 12 ماه 
طبق ماده 17
</t>
  </si>
  <si>
    <t>تعداد مادران بهره مند از
 مرخصی زایمان 9 تا 12 ماه</t>
  </si>
  <si>
    <t>تعداد مادران باردار و شیرده 
معاف شده از نوبت کاری شب</t>
  </si>
  <si>
    <t>درصد مهد کودک 
راه اندازی یا تجهیز شده 
طبق ماده 22</t>
  </si>
  <si>
    <t>تعداد کل مراکز نیازمند مهد کودک 
تحت پوشش دانشگاه/دانشکده</t>
  </si>
  <si>
    <t>تعداد مهد کودک راه اندازی یا تجهیز شده 
در مراکز تابعه و ستاد</t>
  </si>
  <si>
    <t>مقدار کل اعتبارات دانشگاه/دانشکده 
در سال 1403</t>
  </si>
  <si>
    <t>مقدار اعتبار جذب شده طبق ماده 72 
در سال 1403</t>
  </si>
  <si>
    <t>تخصیص سالانه 5 درصد از اعتبارات پژوهشی به مطالعات و پژوهش های مرتبط با خانواده (فرزندآوری) و رشد جمعیت در راستای اولویت­های پژوهشی اعلامی از سوی ستاد ملی جمعیت طبق ماده 39</t>
  </si>
  <si>
    <t>میزان کل اعتبارات پژوهشی دانشگاه/دانشکده
 در سال 1403</t>
  </si>
  <si>
    <t>میزان اعتبارات پژوهشی مرتبط با خانواده (فرزندآوری) و رشد جمعیت در راستای اولویت­های پژوهشی اعلامی از سوی ستاد ملی جمعیت در سال 1403</t>
  </si>
  <si>
    <t>درصد گزارشات موارد نامنطبق و مشکوک مرتبط با ناباروری در حوزه مواد و فرآورده های غذایی و نهاده های فناورانه
 (مانند زیست فناوری و نانو فناوری و سایر)</t>
  </si>
  <si>
    <t>تعداد نظارت های انجام شده در حوزه مواد غذایی، آرایشی، بهداشتی، مکمل ها و افزودنی ها و نهاده های فناورانه</t>
  </si>
  <si>
    <t xml:space="preserve">بیش از 60 درصد: 0/5 امتیاز؛ 40 تا 60 درصد: 0/25 امتیاز؛ کمتر از 40 درصد: 0 امتیاز </t>
  </si>
  <si>
    <t>بیش از 80 درصد: 1/5 امتیاز؛ 60 تا 80 درصد: 1 امتیاز؛ 40 تا 60 درصد: 0/5 امتیاز؛ کمتر از 40 درصد: 0/25 امتیاز؛ هیچ مورد: 0 امتیاز</t>
  </si>
  <si>
    <t>بیش از 80 درصد: 2 امتیاز؛ 60 تا 80 درصد: 1/5 امتیاز؛ 40 تا 60 درصد: 1 امتیاز؛ کمتر از 40 درصد: 0/5 امتیاز؛ هیچ مورد: 0 امتیاز</t>
  </si>
  <si>
    <t>جذب 1 درصد از اعتبار دانشگاه/دانشکده جهت اجرای تکالیف قانون حمایت از خانواده و جوانی جمعیت طبق ماده 72</t>
  </si>
  <si>
    <t>جذب بخشی از اعتبار مربوطه</t>
  </si>
  <si>
    <t>عدم جذب اعتبار مربوطه</t>
  </si>
  <si>
    <t>اعتبار ماده 72</t>
  </si>
  <si>
    <t>جذب کامل اعتبار مربوطه</t>
  </si>
  <si>
    <t>تخصیص 5 درصد اعتبارات: 1/5 امتیاز؛ 
تخصیص کمتر از 5 درصد اعتبارات: 0/5 امتیاز؛ 
عدم تخصیص: 0 امتیاز</t>
  </si>
  <si>
    <t>حداقل 15 درصد: 1 امتیاز؛ 10 تا 15 درصد: 0/75 امتیاز؛ 5 تا 10 درصد: 0/5 امتیاز؛  2 تا 5 درصد: 0/25 امتیاز؛ کمتر از 2 درصد: 0 امتیاز</t>
  </si>
  <si>
    <t xml:space="preserve">تعداد کل مطب های پزشکی و مامایی و داروخانه های مشمول ماده 56 که ابزار، لوازم و داروهای سقط در آن ها کشف شده </t>
  </si>
  <si>
    <t>تعداد مطب های پزشکی و مامایی و داروخانه های مشمول ماده 56 که شکایت ثبت شده و پرونده قضایی دارند</t>
  </si>
  <si>
    <t>درصد مطب های پزشکی و مامایی و داروخانه های مشمول ماده 56 دارای شکایت ثبت شده و پرونده قضایی</t>
  </si>
  <si>
    <t>تعداد جنین های متولد شده به دنبال مشاوره های انصراف از سقط مراکز بهداشتی یا نفس</t>
  </si>
  <si>
    <t>درصد مشاوره های انصراف از سقط
 موفق و منجر به تولد
مراکز بهداشتی و نفس</t>
  </si>
  <si>
    <t>تعداد کل متقاضیان سقط دریافت کننده مشاوره انصراف از سقط توسط مراکز بهداشتی یا نفس</t>
  </si>
  <si>
    <t>تعداد کل متقاضیان سقط دریافت کننده مشاوره انصراف از سقط توسط سایر گروه های مردمی به جز مراکز بهداشتی یا نفس</t>
  </si>
  <si>
    <t>درصد مشاوره های انصراف از سقط
 موفق و منجر به تولد
سایر گروه های مردمی به جز نفس</t>
  </si>
  <si>
    <t>تعداد جنین های متولد شده به دنبال مشاوره های انصراف از سقط گروه های مردمی به جز مراکز بهداشتی و نفس</t>
  </si>
  <si>
    <t>تعداد کل مطب ها و مراکز درمانی 
تحت پوشش دانشگاه/دانشکده</t>
  </si>
  <si>
    <t>تعداد مطب ها و مراکز درمانی دارای پوستر نصب شده سقط جنین ابلاغی به نظام پزشکی</t>
  </si>
  <si>
    <t xml:space="preserve"> حداقل 50 درصد: 0/5 امتیاز؛ کمتر از 50 درصد: 0/25 امتیاز؛ هیچ مورد: 0 امتیاز</t>
  </si>
  <si>
    <t>نفس</t>
  </si>
  <si>
    <t xml:space="preserve">راه اندازی مرکز نفس با همکاری دانشگاه/دانشکده علوم پزشکی: 0/5 امتیاز؛ 
عدم راه اندازی مرکز نفس: 0 امتیاز </t>
  </si>
  <si>
    <t>راه اندازی مرکز نفس با همکاری دانشگاه/دانشکده</t>
  </si>
  <si>
    <t xml:space="preserve">عدم راه اندازی مرکز نفس </t>
  </si>
  <si>
    <t xml:space="preserve">کل شکایات ثبت شده در سامانه 190 </t>
  </si>
  <si>
    <t xml:space="preserve">پاسخ به موقع به مکاتبات 
مرکز نظارت بر درمان ستاد وزارت </t>
  </si>
  <si>
    <t>حداقل 70 درصد: 2 امتیاز؛ 40 تا 70 درصد: 1/5 امتیاز؛ 10 تا 40 درصد: 1 امتیاز؛ کمتر از 10 درصد : 0 امتیاز</t>
  </si>
  <si>
    <t>پاسخ  کامل به مکاتبات: 1/5 امتیاز؛ پاسخ ناقص به مکاتبات: 0/5 امتیاز؛ عدم پاسخ: 0 امتیاز</t>
  </si>
  <si>
    <t>پاسخ به نامه شاخص ها تا تاریخ مقرر شده و طبق فرمت جدول: 1 امتیاز؛  
پاسخ به نامه شاخص ها با پیگیری ستاد وزارت یا دستکاری در فرمت جدول: 0/5 امتیاز؛ 
عدم پاسخ به نامه شاخص ها یا عدم بکارگیری فرمت جدول: 0 امتیاز</t>
  </si>
  <si>
    <t>بکارگیری خلاقیت مورد تایید دبیرخانه قرارگاه جوانی جمعیت ستاد وزارت متبوع در اجرای قانون: 1/5 امتیاز؛ عدم بکارگیری خلاقیت مذکور: 0 امتیاز</t>
  </si>
  <si>
    <t>نتیجه حاصله</t>
  </si>
  <si>
    <t xml:space="preserve">درصد افزایش زایمان های بی درد انجام شده نسبت به سال گذشته </t>
  </si>
  <si>
    <t>درصد مراکز درمان ناباروری خصوصی
 طرف قرارداد با بیمه پایه</t>
  </si>
  <si>
    <t>درصد صدور گواهی ولادت به ثبت زایمان 
در تمامی مراکز زایشگاهی تحت پوشش دانشگاه/دانشکده</t>
  </si>
  <si>
    <t>جذب کامل اعتبار : 2 امتیاز؛ جذب بخشی از اعتبار : 1 امتیاز؛ عدم جذب اعتبار : 0 امتیاز</t>
  </si>
  <si>
    <t xml:space="preserve">درصد افزایش زایمان های کاهش درد (کم درد) انجام شده نسبت به سال گذشته </t>
  </si>
  <si>
    <t>درصد استاندارد نیروی مامایی به تعداد مادران بستری در بلوک زایمان 
طبق ماده 49 قانون</t>
  </si>
  <si>
    <t>پرداخت کارانه پلکانی مشاوره فرزندآوری منجر به تولد زنده کارکنان بهداشتی
طبق بند پ ماده 46</t>
  </si>
  <si>
    <t xml:space="preserve">پوشش تبلیغاتی و رسانه ای پورتال و ساب پورتال دانشگاه/دانشکده 
با موضوع جوانی جمعیت </t>
  </si>
  <si>
    <t>درصد مصوبات اجراشده ستاد 
جوانی جمعیت دانشگاه/دانشکده</t>
  </si>
  <si>
    <t>میزان اعتبارات جوانی جمعیت هزینه شده بر اساس شرح هزینه کرد اعلامی 
(میلیون ریال)</t>
  </si>
  <si>
    <t>درصد ابلاغ بسته حفظ حیات جنین به مراکز درمانی، بهداشتی، خصوصی و ... ارائه دهنده خدمات زنان و زایمان و مامایی</t>
  </si>
  <si>
    <t xml:space="preserve">اتصال و تعریف کلیه کاربران 
ستادی دانشگاه/دانشکده، شهرستان، بیمارستان ها (آموزشی، دولتی، خصوصی،خیریه و...)، تسهیلات زایمانی و...
در سامانه باروری سالم (ایمان سابق) </t>
  </si>
  <si>
    <t>نحوه اتصال و تعریف کاربران واجد شرایط در سامانه باروری سالم</t>
  </si>
  <si>
    <t>تعداد تقدیر مالی از بهورزان و مراقبین سلامت منجر به تولد زنده 
توسط رئیس دانشگاه/دانشکده</t>
  </si>
  <si>
    <t>تعداد کل مادران زایمان کرده 
در سال 1403</t>
  </si>
  <si>
    <t>تعداد کل زایمان های ثبت شده در تمای مراکز زایشگاهی (دولتی، خصوصی، خیریه و ...) در 4 ماه آخر 1403</t>
  </si>
  <si>
    <t>تعداد گواهی ولادت صادر شده در تمامی مراکز زایشگاهی در 4 ماه آخر 1403</t>
  </si>
  <si>
    <t xml:space="preserve">تعداد محتوای رسانه ای (بنرها، خبرها، مقالات، ویدئوها و ...) منتشر شده با موضوع جوانی جمعیت در پورتال یا ساب پورتال دانشگاه/دانشکده </t>
  </si>
  <si>
    <t>تعداد برنامه رادیویی و تلوزیونی پخش شده از صدا و سیما با موضوع جوانی جمعیت و با حضور اعضای هیئت رئیسه، اساتید و کارشناسان دانشگاه/دانشکده</t>
  </si>
  <si>
    <t>اعتبار تخصیص داده شده به احداث، تکمیل، تامین و تجهیز خوابگاه های متاهلی 
در سال 1403</t>
  </si>
  <si>
    <t xml:space="preserve">بیش از 80 درصد: 1 امتیاز؛ 40 تا 80 درصد: 0/5 امتیاز؛ کمتر از 40 درصد: 0 امتیاز </t>
  </si>
  <si>
    <t>درصد کارکنان تک فرزند 
صاحب فرزند دوم شده 
در سال 1403</t>
  </si>
  <si>
    <t>درصد کارکنان حداقل دو فرزندی
صاحب فرزند دیگر شده 
در سال 1403</t>
  </si>
  <si>
    <t>درصد کارکنان مجرد متاهل شده
 در سال 1403</t>
  </si>
  <si>
    <t xml:space="preserve">درصد افراد استخدام شده به ازاء
 تاهل و  داشتن فرزند یک تا پنج سال 
طبق بند الف ماده 14 </t>
  </si>
  <si>
    <t>درصد  آگاهی بخشی در مطب ها و مراکز درمانی از طریق نصب پوستر سقط جنین ابلاغی به نظام پزشکی</t>
  </si>
  <si>
    <t>بیش از 80 درصد: 1 امتیاز؛ 60 تا 80 درصد: 0/75 امتیاز؛ 40 تا 60 درصد: 0/5 امتیاز؛ کمتر از 40 درصد: 0/25 امتیاز؛ هیچ مورد: 0 امتیاز</t>
  </si>
  <si>
    <t>حداقل 80 درصد: 1/5 امتیاز؛ 60 تا 80 درصد: 1 امتیاز؛ 40 تا 60 درصد: 0/5 امتیاز؛ کمتر از 40 درصد: 0/25 امتیاز؛ هیچ مورد: 0 امتیاز</t>
  </si>
  <si>
    <r>
      <t xml:space="preserve">جمع امتیاز 
</t>
    </r>
    <r>
      <rPr>
        <sz val="14"/>
        <color rgb="FFFF0000"/>
        <rFont val="B Titr"/>
        <charset val="178"/>
      </rPr>
      <t>بدون</t>
    </r>
    <r>
      <rPr>
        <sz val="14"/>
        <rFont val="B Titr"/>
        <charset val="178"/>
      </rPr>
      <t xml:space="preserve"> احتساب امتیاز مثبت</t>
    </r>
  </si>
  <si>
    <r>
      <t xml:space="preserve">جمع امتیاز 
</t>
    </r>
    <r>
      <rPr>
        <sz val="14"/>
        <color rgb="FFFF0000"/>
        <rFont val="B Titr"/>
        <charset val="178"/>
      </rPr>
      <t>با</t>
    </r>
    <r>
      <rPr>
        <sz val="14"/>
        <color theme="1"/>
        <rFont val="B Titr"/>
        <charset val="178"/>
      </rPr>
      <t xml:space="preserve"> احتساب امتیاز مثبت</t>
    </r>
  </si>
  <si>
    <t xml:space="preserve">ملاحظات </t>
  </si>
  <si>
    <t>درصد تقدیر مالی از بهورزان و مراقبین سلامت منجر به تولد زنده 
توسط رئیس دانشگاه/دانشکده</t>
  </si>
  <si>
    <t xml:space="preserve">بیش از 70 درصد: 1 امتیاز؛ 50 تا 70 درصد: 0/5 امتیاز؛ 30 تا 50 درصد: 0/25؛ کمتر از 30 درصد: 0 امتیاز </t>
  </si>
  <si>
    <t>تعداد مراکز بازرسی شده 
از نظر مخاطرات ناباروری</t>
  </si>
  <si>
    <t>تعداد کل مراکز تحت پوشش دانشگاه/دانشکده</t>
  </si>
  <si>
    <t>تعداد موارد نامنطبق و مشکوک گزارش و بازخورد داده شده</t>
  </si>
  <si>
    <t>همه معاونت ها</t>
  </si>
  <si>
    <t xml:space="preserve">معاونت درمان/فناوری اطلاعات </t>
  </si>
  <si>
    <t xml:space="preserve">گسترش شبکه در معاونت بهداشت/فناوری اطلاعات </t>
  </si>
  <si>
    <t xml:space="preserve">معاونت بهداشت/فناوری اطلاعات </t>
  </si>
  <si>
    <t xml:space="preserve">معاونت غذا و دارو 
و معاونت درمان
و معاونت حقوقی
</t>
  </si>
  <si>
    <r>
      <rPr>
        <sz val="16"/>
        <rFont val="B Titr"/>
        <charset val="178"/>
      </rPr>
      <t>نحوه</t>
    </r>
    <r>
      <rPr>
        <sz val="16"/>
        <color theme="1"/>
        <rFont val="B Titr"/>
        <charset val="178"/>
      </rPr>
      <t xml:space="preserve"> پرداخت کارانه پلکانی مشاوره فرزندآوری منجر به تولد زنده کارکنان بهداشتی سال های 1401 و 1402 به ارائه دهندگان مستقیم و غیر مستقیم 
طبق بند پ ماده 46</t>
    </r>
  </si>
  <si>
    <r>
      <t>درصد اجرای نوبت دهی و راهنمای مادران باردار در</t>
    </r>
    <r>
      <rPr>
        <sz val="16"/>
        <color rgb="FFFF0000"/>
        <rFont val="B Titr"/>
        <charset val="178"/>
      </rPr>
      <t xml:space="preserve"> </t>
    </r>
    <r>
      <rPr>
        <b/>
        <sz val="16"/>
        <color rgb="FFFF0000"/>
        <rFont val="B Titr"/>
        <charset val="178"/>
      </rPr>
      <t>بیمارستان های زنان</t>
    </r>
    <r>
      <rPr>
        <sz val="16"/>
        <color theme="1"/>
        <rFont val="B Titr"/>
        <charset val="178"/>
      </rPr>
      <t xml:space="preserve"> 
(نوبت دهی اختصاصی برای مادران، وجود راهنما و مشخص بودن مسیر ورود مادران، وجود پارکینگ برای مادران و ...)</t>
    </r>
  </si>
  <si>
    <r>
      <t xml:space="preserve">درصد اجرای نوبت دهی و راهنمای مادران باردار در </t>
    </r>
    <r>
      <rPr>
        <b/>
        <sz val="16"/>
        <color rgb="FFFF0000"/>
        <rFont val="B Titr"/>
        <charset val="178"/>
      </rPr>
      <t>مراکز بهداشتی</t>
    </r>
    <r>
      <rPr>
        <sz val="16"/>
        <color theme="1"/>
        <rFont val="B Titr"/>
        <charset val="178"/>
      </rPr>
      <t xml:space="preserve">
(نوبت دهی اختصاصی سامانه ای برای مادران، وجود راهنما و مشخص بودن مسیر ورود مادران، عدم معطلی مادر و ...)</t>
    </r>
  </si>
  <si>
    <r>
      <t xml:space="preserve">درصد مراکز بازرسی شده از نظر مخاطرات باروری در حوزه </t>
    </r>
    <r>
      <rPr>
        <b/>
        <sz val="16"/>
        <rFont val="B Titr"/>
        <charset val="178"/>
      </rPr>
      <t>شیمیایی و صنعتی، زیستی، سموم کشاورزی، آلاینده های زیست محیطی</t>
    </r>
  </si>
  <si>
    <r>
      <t xml:space="preserve">راه اندازی مراکز نفس 
</t>
    </r>
    <r>
      <rPr>
        <sz val="16"/>
        <rFont val="B Titr"/>
        <charset val="178"/>
      </rPr>
      <t>در دانشگاه/دانشکده
در سال 1403</t>
    </r>
  </si>
  <si>
    <r>
      <t xml:space="preserve">12جلسه: 2 امتیاز؛ 10 تا 11 جلسه: 1 امتیاز؛ 5 تا 9 جلسه: 0/5 امتیاز؛
 کمتر از 5 جلسه: </t>
    </r>
    <r>
      <rPr>
        <b/>
        <sz val="16"/>
        <color rgb="FFFF0000"/>
        <rFont val="B Titr"/>
        <charset val="178"/>
      </rPr>
      <t>1- امتیاز</t>
    </r>
  </si>
  <si>
    <r>
      <t xml:space="preserve">اجرای کامل 7 تکلیف: 3 امتیاز؛ عدم اجرای هر یک تکالیف: </t>
    </r>
    <r>
      <rPr>
        <b/>
        <sz val="16"/>
        <color rgb="FFFF0000"/>
        <rFont val="B Titr"/>
        <charset val="178"/>
      </rPr>
      <t>1- امتیاز</t>
    </r>
  </si>
  <si>
    <r>
      <t>کمتر از 20 درصد: 1 امتیاز؛ 20 تا 50 درصد: 0/75 امتیاز؛ 50 تا 60 درصد: 0/25 امتیاز؛ 60 تا 70 درصد: 0 امتیاز؛ بیش از 70 درصد:</t>
    </r>
    <r>
      <rPr>
        <b/>
        <sz val="16"/>
        <color rgb="FFFF0000"/>
        <rFont val="B Titr"/>
        <charset val="178"/>
      </rPr>
      <t xml:space="preserve"> 1- امتیاز</t>
    </r>
  </si>
  <si>
    <r>
      <t xml:space="preserve">بیش از 70 درصد: 3 امتیاز؛ 60 تا 70 درصد: 2 امتیاز؛ 50 تا 60 درصد: 1 امتیاز؛ 40 تا 50 درصد: 0/5 امتیاز؛ 30 تا 40 درصد: 0 امتیاز؛ کمتر از 30 درصد: </t>
    </r>
    <r>
      <rPr>
        <b/>
        <sz val="16"/>
        <color rgb="FFFF0000"/>
        <rFont val="B Titr"/>
        <charset val="178"/>
      </rPr>
      <t>1- امتیاز</t>
    </r>
    <r>
      <rPr>
        <b/>
        <sz val="16"/>
        <color theme="1"/>
        <rFont val="B Titr"/>
        <charset val="178"/>
      </rPr>
      <t xml:space="preserve">
</t>
    </r>
    <r>
      <rPr>
        <b/>
        <sz val="16"/>
        <color rgb="FFFF0000"/>
        <rFont val="B Titr"/>
        <charset val="178"/>
      </rPr>
      <t>*اطلاعات وارد شده باید به تائید معاون محترم بهداشت دانشگاه برسد.</t>
    </r>
  </si>
  <si>
    <r>
      <t xml:space="preserve">پرداخت کارانه هر دو سال به هر دو ارائه دهنده مستقیم و غیر مستقیم: 3 امتیاز؛ 
پرداخت کارانه صرفاً به یکی از ارائه دهندگان مستقیم یا غیر مستقیم: 1 امتیاز؛
پرداخت کارانه صرفا یکی از دو سال یا عدم پرداخت هر دو: </t>
    </r>
    <r>
      <rPr>
        <b/>
        <sz val="16"/>
        <color rgb="FFFF0000"/>
        <rFont val="B Titr"/>
        <charset val="178"/>
      </rPr>
      <t>1- امتیاز</t>
    </r>
  </si>
  <si>
    <r>
      <t xml:space="preserve">بیش از 80 درصد: 2 امتیاز؛ 60 تا 80 درصد: 1/5 امتیاز؛40 تا 60 درصد: 1 امتیاز؛ کمتر از40 درصد: </t>
    </r>
    <r>
      <rPr>
        <b/>
        <sz val="16"/>
        <rFont val="B Titr"/>
        <charset val="178"/>
      </rPr>
      <t>0/5 امتیاز؛ هیچ مورد</t>
    </r>
    <r>
      <rPr>
        <b/>
        <sz val="16"/>
        <color theme="1"/>
        <rFont val="B Titr"/>
        <charset val="178"/>
      </rPr>
      <t xml:space="preserve">: 0 امتیاز </t>
    </r>
  </si>
  <si>
    <r>
      <t xml:space="preserve">حداقل 5 درصد افزایش: 3 امتیاز؛ 4 تا 5 درصد افزایش: 2 امتیاز ؛ حداکثر 4 درصد افزایش: 1 امتیاز؛ عدم تغییر: 0/5 امتیاز؛ کاهش: </t>
    </r>
    <r>
      <rPr>
        <b/>
        <sz val="16"/>
        <color rgb="FFFF0000"/>
        <rFont val="B Titr"/>
        <charset val="178"/>
      </rPr>
      <t>1- امتیاز</t>
    </r>
    <r>
      <rPr>
        <b/>
        <sz val="16"/>
        <rFont val="B Titr"/>
        <charset val="178"/>
      </rPr>
      <t xml:space="preserve"> </t>
    </r>
  </si>
  <si>
    <r>
      <t>بیش از 70 درصد: 1 امتیاز؛ 30 تا 70 درصد: 0/5 امتیاز؛ کمتر از 30 درصد:</t>
    </r>
    <r>
      <rPr>
        <b/>
        <sz val="16"/>
        <color rgb="FFFF0000"/>
        <rFont val="B Titr"/>
        <charset val="178"/>
      </rPr>
      <t xml:space="preserve"> 1- امتیاز</t>
    </r>
  </si>
  <si>
    <r>
      <t>اتصال 100 درصد مراکز آزمایشگاهی غیر دولتی: 2 امتیاز؛ حداقل 50 درصد: 1 امتیاز؛  کم تر از 50 درصد:</t>
    </r>
    <r>
      <rPr>
        <b/>
        <sz val="16"/>
        <color rgb="FFFF0000"/>
        <rFont val="B Titr"/>
        <charset val="178"/>
      </rPr>
      <t xml:space="preserve"> 1-امتیاز  </t>
    </r>
  </si>
  <si>
    <r>
      <t xml:space="preserve">اتصال و تعریف تمامی کاربران: 1/5 امتیاز؛ 
وجود هرگونه نقص و عدم اتصال و تعریف هر یک از کاربران: 0 امتیاز
</t>
    </r>
    <r>
      <rPr>
        <b/>
        <sz val="16"/>
        <color rgb="FFFF0000"/>
        <rFont val="B Titr"/>
        <charset val="178"/>
      </rPr>
      <t>*مستندات اطلاعات وارد شده باید توسط مدیر فناوری اطلاعات دانشگاه پیوست گردد.</t>
    </r>
  </si>
  <si>
    <r>
      <t xml:space="preserve">آموزش 100 درصد مخاطبین: 3 امتیاز؛ 80 تا 100 درصد: 1 امتیاز؛
زیر 80 درصد: </t>
    </r>
    <r>
      <rPr>
        <b/>
        <sz val="16"/>
        <color rgb="FFFF0000"/>
        <rFont val="B Titr"/>
        <charset val="178"/>
      </rPr>
      <t>1- امتیاز</t>
    </r>
  </si>
  <si>
    <r>
      <t>حداقل 10 درصد: 1 امتیاز؛ 7 تا 10 درصد: 0/75 امتیاز؛ 4 تا 7 درصد: 0/5 امتیاز؛ 1 تا 4 درصد: 0/25 امتیاز؛ حداکثر 1 درصد</t>
    </r>
    <r>
      <rPr>
        <b/>
        <sz val="16"/>
        <color rgb="FFFF0000"/>
        <rFont val="B Titr"/>
        <charset val="178"/>
      </rPr>
      <t xml:space="preserve"> یا عدم تخصیص</t>
    </r>
    <r>
      <rPr>
        <b/>
        <sz val="16"/>
        <color theme="1"/>
        <rFont val="B Titr"/>
        <charset val="178"/>
      </rPr>
      <t>: 0 امتیاز</t>
    </r>
  </si>
  <si>
    <r>
      <t xml:space="preserve">بیش از 80 درصد: 2 امتیاز؛ 50 تا 80 درصد: 1 امتیاز؛ کمتر از50 درصد: 0 امتیاز؛
 هیچ مورد: </t>
    </r>
    <r>
      <rPr>
        <b/>
        <sz val="16"/>
        <color rgb="FFFF0000"/>
        <rFont val="B Titr"/>
        <charset val="178"/>
      </rPr>
      <t>1- امتیاز</t>
    </r>
  </si>
  <si>
    <r>
      <t xml:space="preserve"> بیش از 80 درصد: 2 امتیاز؛ 60 تا 80 درصد: 1/5 امتیاز؛40 تا 60 درصد: 1 امتیاز؛ کمتر از40 درصد: 0/5 امتیاز؛ هیچ مورد:</t>
    </r>
    <r>
      <rPr>
        <b/>
        <sz val="16"/>
        <color rgb="FFFF0000"/>
        <rFont val="B Titr"/>
        <charset val="178"/>
      </rPr>
      <t xml:space="preserve"> 2- امتیاز</t>
    </r>
  </si>
  <si>
    <r>
      <t xml:space="preserve">حداقل80 درصد ثبت شکایت و پرونده: 2 امتیاز؛ 60 تا 80 درصد: 1/5 امتیاز؛ 40 تا 60 درصد: 1 امتیاز؛ 30 تا 40 درصد: 0/5 امتیاز؛ کمتر از 30 درصد: 0 امتیاز
</t>
    </r>
    <r>
      <rPr>
        <b/>
        <sz val="16"/>
        <color rgb="FFFF0000"/>
        <rFont val="B Titr"/>
        <charset val="178"/>
      </rPr>
      <t xml:space="preserve">
در صورت بازدید از مطب ها و داروخانه ها و عدم وجود موردی برای ثبت و شکایت مشروط به ارائه مستندات، امتیاز مربوطه دریافت خواهد شد
حداقل80 درصد بازدید واحد های واجد شرایط: 2 امتیاز؛ 60 تا 80 درصد: 1/5 امتیاز؛ 40 تا 60 درصد: 1 امتیاز؛ 30 تا 40 درصد: 0/5 امتیاز؛ کمتر از 30 درصد: 0 امتیاز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</si>
</sst>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Aptos Narrow"/>
      <family val="2"/>
      <scheme val="minor"/>
    </font>
    <font>
      <sz val="22"/>
      <color theme="1"/>
      <name val="B Titr"/>
      <charset val="178"/>
    </font>
    <font>
      <sz val="11"/>
      <color theme="1"/>
      <name val="B Zar"/>
      <charset val="178"/>
    </font>
    <font>
      <b/>
      <sz val="11"/>
      <color theme="1"/>
      <name val="B Zar"/>
      <charset val="178"/>
    </font>
    <font>
      <b/>
      <sz val="14"/>
      <color theme="1"/>
      <name val="B Zar"/>
      <charset val="178"/>
    </font>
    <font>
      <b/>
      <sz val="16"/>
      <color theme="1"/>
      <name val="B Zar"/>
      <charset val="178"/>
    </font>
    <font>
      <b/>
      <sz val="11"/>
      <color rgb="FFFF0000"/>
      <name val="B Zar"/>
      <charset val="178"/>
    </font>
    <font>
      <b/>
      <sz val="11"/>
      <name val="B Zar"/>
      <charset val="178"/>
    </font>
    <font>
      <sz val="20"/>
      <color theme="1"/>
      <name val="NPIAmir"/>
    </font>
    <font>
      <sz val="8"/>
      <name val="Aptos Narrow"/>
      <family val="2"/>
      <scheme val="minor"/>
    </font>
    <font>
      <b/>
      <sz val="16"/>
      <name val="B Zar"/>
      <charset val="178"/>
    </font>
    <font>
      <b/>
      <sz val="14"/>
      <name val="B Zar"/>
      <charset val="178"/>
    </font>
    <font>
      <b/>
      <sz val="16"/>
      <color theme="1"/>
      <name val="B Titr"/>
      <charset val="178"/>
    </font>
    <font>
      <b/>
      <sz val="11"/>
      <color theme="6"/>
      <name val="B Titr"/>
      <charset val="178"/>
    </font>
    <font>
      <b/>
      <sz val="11"/>
      <color theme="6"/>
      <name val="B Zar"/>
      <charset val="178"/>
    </font>
    <font>
      <sz val="14"/>
      <color theme="1"/>
      <name val="B Titr"/>
      <charset val="178"/>
    </font>
    <font>
      <sz val="20"/>
      <color theme="1"/>
      <name val="B Titr"/>
      <charset val="178"/>
    </font>
    <font>
      <sz val="14"/>
      <color theme="1"/>
      <name val="Aptos Narrow"/>
      <family val="2"/>
      <scheme val="minor"/>
    </font>
    <font>
      <sz val="16"/>
      <color theme="1"/>
      <name val="Aptos Narrow"/>
      <family val="2"/>
      <scheme val="minor"/>
    </font>
    <font>
      <b/>
      <sz val="11"/>
      <color theme="1"/>
      <name val="Aptos Narrow"/>
      <family val="2"/>
      <charset val="178"/>
      <scheme val="minor"/>
    </font>
    <font>
      <b/>
      <sz val="16"/>
      <color theme="1"/>
      <name val="Aptos Narrow"/>
      <family val="2"/>
      <charset val="178"/>
      <scheme val="minor"/>
    </font>
    <font>
      <sz val="14"/>
      <color rgb="FFFF0000"/>
      <name val="B Titr"/>
      <charset val="178"/>
    </font>
    <font>
      <sz val="14"/>
      <name val="B Titr"/>
      <charset val="178"/>
    </font>
    <font>
      <sz val="18"/>
      <color theme="1"/>
      <name val="B Titr"/>
      <charset val="178"/>
    </font>
    <font>
      <b/>
      <sz val="18"/>
      <color theme="1"/>
      <name val="B Zar"/>
      <charset val="178"/>
    </font>
    <font>
      <b/>
      <sz val="16"/>
      <name val="B Titr"/>
      <charset val="178"/>
    </font>
    <font>
      <sz val="16"/>
      <color theme="1"/>
      <name val="B Titr"/>
      <charset val="178"/>
    </font>
    <font>
      <sz val="16"/>
      <name val="B Titr"/>
      <charset val="178"/>
    </font>
    <font>
      <sz val="16"/>
      <color rgb="FFFF0000"/>
      <name val="B Titr"/>
      <charset val="178"/>
    </font>
    <font>
      <b/>
      <sz val="16"/>
      <color rgb="FFFF0000"/>
      <name val="B Titr"/>
      <charset val="178"/>
    </font>
  </fonts>
  <fills count="69">
    <fill>
      <patternFill patternType="none"/>
    </fill>
    <fill>
      <patternFill patternType="gray125"/>
    </fill>
    <fill>
      <patternFill patternType="solid">
        <fgColor theme="9" tint="0.39997558519241921"/>
        <bgColor indexed="64"/>
      </patternFill>
    </fill>
    <fill>
      <patternFill patternType="solid">
        <fgColor rgb="FF80BCBD"/>
        <bgColor indexed="64"/>
      </patternFill>
    </fill>
    <fill>
      <patternFill patternType="solid">
        <fgColor rgb="FFAAD9BB"/>
        <bgColor indexed="64"/>
      </patternFill>
    </fill>
    <fill>
      <patternFill patternType="solid">
        <fgColor rgb="FFD5F0C1"/>
        <bgColor indexed="64"/>
      </patternFill>
    </fill>
    <fill>
      <patternFill patternType="solid">
        <fgColor rgb="FFF9F7C9"/>
        <bgColor indexed="64"/>
      </patternFill>
    </fill>
    <fill>
      <patternFill patternType="solid">
        <fgColor rgb="FFB1F0F7"/>
        <bgColor indexed="64"/>
      </patternFill>
    </fill>
    <fill>
      <patternFill patternType="solid">
        <fgColor rgb="FF81BFDA"/>
        <bgColor indexed="64"/>
      </patternFill>
    </fill>
    <fill>
      <patternFill patternType="solid">
        <fgColor rgb="FFF5F0CD"/>
        <bgColor indexed="64"/>
      </patternFill>
    </fill>
    <fill>
      <patternFill patternType="solid">
        <fgColor rgb="FFFADA7A"/>
        <bgColor indexed="64"/>
      </patternFill>
    </fill>
    <fill>
      <patternFill patternType="solid">
        <fgColor theme="6" tint="0.59999389629810485"/>
        <bgColor indexed="64"/>
      </patternFill>
    </fill>
    <fill>
      <patternFill patternType="solid">
        <fgColor rgb="FF88AB8E"/>
        <bgColor indexed="64"/>
      </patternFill>
    </fill>
    <fill>
      <patternFill patternType="solid">
        <fgColor rgb="FFAFC8AD"/>
        <bgColor indexed="64"/>
      </patternFill>
    </fill>
    <fill>
      <patternFill patternType="solid">
        <fgColor rgb="FFEEE7DA"/>
        <bgColor indexed="64"/>
      </patternFill>
    </fill>
    <fill>
      <patternFill patternType="solid">
        <fgColor theme="0" tint="-4.9989318521683403E-2"/>
        <bgColor indexed="64"/>
      </patternFill>
    </fill>
    <fill>
      <patternFill patternType="solid">
        <fgColor rgb="FFE7CCCC"/>
        <bgColor indexed="64"/>
      </patternFill>
    </fill>
    <fill>
      <patternFill patternType="solid">
        <fgColor rgb="FFEDE8DC"/>
        <bgColor indexed="64"/>
      </patternFill>
    </fill>
    <fill>
      <patternFill patternType="solid">
        <fgColor rgb="FFA5B68D"/>
        <bgColor indexed="64"/>
      </patternFill>
    </fill>
    <fill>
      <patternFill patternType="solid">
        <fgColor rgb="FFC1CFA1"/>
        <bgColor indexed="64"/>
      </patternFill>
    </fill>
    <fill>
      <patternFill patternType="solid">
        <fgColor rgb="FFB5C18E"/>
        <bgColor indexed="64"/>
      </patternFill>
    </fill>
    <fill>
      <patternFill patternType="solid">
        <fgColor rgb="FFF7DCB9"/>
        <bgColor indexed="64"/>
      </patternFill>
    </fill>
    <fill>
      <patternFill patternType="solid">
        <fgColor rgb="FFDEAC80"/>
        <bgColor indexed="64"/>
      </patternFill>
    </fill>
    <fill>
      <patternFill patternType="solid">
        <fgColor rgb="FFB99470"/>
        <bgColor indexed="64"/>
      </patternFill>
    </fill>
    <fill>
      <patternFill patternType="solid">
        <fgColor rgb="FF98DDCA"/>
        <bgColor indexed="64"/>
      </patternFill>
    </fill>
    <fill>
      <patternFill patternType="solid">
        <fgColor rgb="FFD5ECC2"/>
        <bgColor indexed="64"/>
      </patternFill>
    </fill>
    <fill>
      <patternFill patternType="solid">
        <fgColor rgb="FFFFD3B4"/>
        <bgColor indexed="64"/>
      </patternFill>
    </fill>
    <fill>
      <patternFill patternType="solid">
        <fgColor rgb="FFFFAAA7"/>
        <bgColor indexed="64"/>
      </patternFill>
    </fill>
    <fill>
      <patternFill patternType="solid">
        <fgColor rgb="FFBAD7DF"/>
        <bgColor indexed="64"/>
      </patternFill>
    </fill>
    <fill>
      <patternFill patternType="solid">
        <fgColor rgb="FFFFE2E2"/>
        <bgColor indexed="64"/>
      </patternFill>
    </fill>
    <fill>
      <patternFill patternType="solid">
        <fgColor rgb="FFF6F6F6"/>
        <bgColor indexed="64"/>
      </patternFill>
    </fill>
    <fill>
      <patternFill patternType="solid">
        <fgColor rgb="FF99DDCC"/>
        <bgColor indexed="64"/>
      </patternFill>
    </fill>
    <fill>
      <patternFill patternType="solid">
        <fgColor rgb="FF937DC2"/>
        <bgColor indexed="64"/>
      </patternFill>
    </fill>
    <fill>
      <patternFill patternType="solid">
        <fgColor rgb="FFC689C6"/>
        <bgColor indexed="64"/>
      </patternFill>
    </fill>
    <fill>
      <patternFill patternType="solid">
        <fgColor rgb="FFE8A0BF"/>
        <bgColor indexed="64"/>
      </patternFill>
    </fill>
    <fill>
      <patternFill patternType="solid">
        <fgColor rgb="FFFCC5C0"/>
        <bgColor indexed="64"/>
      </patternFill>
    </fill>
    <fill>
      <patternFill patternType="solid">
        <fgColor rgb="FF399918"/>
        <bgColor indexed="64"/>
      </patternFill>
    </fill>
    <fill>
      <patternFill patternType="solid">
        <fgColor rgb="FFECFFE6"/>
        <bgColor indexed="64"/>
      </patternFill>
    </fill>
    <fill>
      <patternFill patternType="solid">
        <fgColor rgb="FFFFAAAA"/>
        <bgColor indexed="64"/>
      </patternFill>
    </fill>
    <fill>
      <patternFill patternType="solid">
        <fgColor rgb="FFFF7777"/>
        <bgColor indexed="64"/>
      </patternFill>
    </fill>
    <fill>
      <patternFill patternType="solid">
        <fgColor rgb="FFD4BDAC"/>
        <bgColor indexed="64"/>
      </patternFill>
    </fill>
    <fill>
      <patternFill patternType="solid">
        <fgColor rgb="FFB5CFB7"/>
        <bgColor indexed="64"/>
      </patternFill>
    </fill>
    <fill>
      <patternFill patternType="solid">
        <fgColor rgb="FFCADABF"/>
        <bgColor indexed="64"/>
      </patternFill>
    </fill>
    <fill>
      <patternFill patternType="solid">
        <fgColor rgb="FFE7E8D8"/>
        <bgColor indexed="64"/>
      </patternFill>
    </fill>
    <fill>
      <patternFill patternType="solid">
        <fgColor rgb="FFBFECFF"/>
        <bgColor indexed="64"/>
      </patternFill>
    </fill>
    <fill>
      <patternFill patternType="solid">
        <fgColor rgb="FFCDC1FF"/>
        <bgColor indexed="64"/>
      </patternFill>
    </fill>
    <fill>
      <patternFill patternType="solid">
        <fgColor rgb="FFFFCCEA"/>
        <bgColor indexed="64"/>
      </patternFill>
    </fill>
    <fill>
      <patternFill patternType="solid">
        <fgColor rgb="FFFFB6B9"/>
        <bgColor indexed="64"/>
      </patternFill>
    </fill>
    <fill>
      <patternFill patternType="solid">
        <fgColor rgb="FFFAE3D9"/>
        <bgColor indexed="64"/>
      </patternFill>
    </fill>
    <fill>
      <patternFill patternType="solid">
        <fgColor rgb="FFBBDED6"/>
        <bgColor indexed="64"/>
      </patternFill>
    </fill>
    <fill>
      <patternFill patternType="solid">
        <fgColor rgb="FF61C0BF"/>
        <bgColor indexed="64"/>
      </patternFill>
    </fill>
    <fill>
      <patternFill patternType="lightDown">
        <bgColor rgb="FFAAD9BB"/>
      </patternFill>
    </fill>
    <fill>
      <patternFill patternType="lightDown">
        <bgColor rgb="FF80BCBD"/>
      </patternFill>
    </fill>
    <fill>
      <patternFill patternType="lightDown">
        <bgColor rgb="FFF9F7C9"/>
      </patternFill>
    </fill>
    <fill>
      <patternFill patternType="lightDown">
        <bgColor rgb="FFEEE7DA"/>
      </patternFill>
    </fill>
    <fill>
      <patternFill patternType="lightDown">
        <bgColor rgb="FF88AB8E"/>
      </patternFill>
    </fill>
    <fill>
      <patternFill patternType="lightDown">
        <bgColor rgb="FFA5B68D"/>
      </patternFill>
    </fill>
    <fill>
      <patternFill patternType="lightDown">
        <bgColor rgb="FFE7CCCC"/>
      </patternFill>
    </fill>
    <fill>
      <patternFill patternType="lightDown">
        <bgColor rgb="FFF7DCB9"/>
      </patternFill>
    </fill>
    <fill>
      <patternFill patternType="lightDown">
        <bgColor rgb="FFD5ECC2"/>
      </patternFill>
    </fill>
    <fill>
      <patternFill patternType="lightDown">
        <bgColor rgb="FFF6F6F6"/>
      </patternFill>
    </fill>
    <fill>
      <patternFill patternType="lightDown">
        <bgColor rgb="FFFCC5C0"/>
      </patternFill>
    </fill>
    <fill>
      <patternFill patternType="lightDown">
        <bgColor rgb="FF937DC2"/>
      </patternFill>
    </fill>
    <fill>
      <patternFill patternType="lightDown">
        <bgColor rgb="FFFF7777"/>
      </patternFill>
    </fill>
    <fill>
      <patternFill patternType="lightDown">
        <bgColor rgb="FF399918"/>
      </patternFill>
    </fill>
    <fill>
      <patternFill patternType="lightDown">
        <bgColor rgb="FFE7E8D8"/>
      </patternFill>
    </fill>
    <fill>
      <patternFill patternType="lightDown">
        <bgColor rgb="FFBFECFF"/>
      </patternFill>
    </fill>
    <fill>
      <patternFill patternType="lightDown">
        <bgColor rgb="FFCDC1FF"/>
      </patternFill>
    </fill>
    <fill>
      <patternFill patternType="lightDown">
        <bgColor rgb="FFFAE3D9"/>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s>
  <cellStyleXfs count="1">
    <xf numFmtId="0" fontId="0" fillId="0" borderId="0"/>
  </cellStyleXfs>
  <cellXfs count="551">
    <xf numFmtId="0" fontId="0" fillId="0" borderId="0" xfId="0"/>
    <xf numFmtId="0" fontId="4" fillId="0" borderId="0" xfId="0" applyFont="1" applyAlignment="1">
      <alignment horizontal="center" vertical="center"/>
    </xf>
    <xf numFmtId="0" fontId="8" fillId="0" borderId="0" xfId="0" applyFont="1" applyAlignment="1">
      <alignment horizontal="center" vertical="center"/>
    </xf>
    <xf numFmtId="0" fontId="17" fillId="0" borderId="0" xfId="0" applyFont="1"/>
    <xf numFmtId="0" fontId="4" fillId="49" borderId="1" xfId="0" applyFont="1" applyFill="1" applyBorder="1" applyAlignment="1">
      <alignment horizontal="center" vertical="center" wrapText="1"/>
    </xf>
    <xf numFmtId="0" fontId="4" fillId="49" borderId="24" xfId="0" applyFont="1" applyFill="1" applyBorder="1" applyAlignment="1">
      <alignment horizontal="center" vertical="center" wrapText="1"/>
    </xf>
    <xf numFmtId="0" fontId="4" fillId="49"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2" fillId="51" borderId="6" xfId="0" applyFont="1" applyFill="1" applyBorder="1" applyAlignment="1">
      <alignment horizontal="center" vertical="center" wrapText="1"/>
    </xf>
    <xf numFmtId="0" fontId="12" fillId="52" borderId="4" xfId="0" applyFont="1" applyFill="1" applyBorder="1" applyAlignment="1">
      <alignment vertical="center" wrapText="1"/>
    </xf>
    <xf numFmtId="0" fontId="5" fillId="3"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 fillId="53" borderId="4" xfId="0" applyFont="1" applyFill="1" applyBorder="1" applyAlignment="1">
      <alignment horizontal="center" vertical="center" wrapText="1"/>
    </xf>
    <xf numFmtId="0" fontId="3" fillId="54" borderId="3" xfId="0" applyFont="1" applyFill="1" applyBorder="1" applyAlignment="1">
      <alignment horizontal="center" vertical="center" wrapText="1"/>
    </xf>
    <xf numFmtId="0" fontId="3" fillId="54"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3" fillId="54" borderId="5" xfId="0" applyFont="1" applyFill="1" applyBorder="1" applyAlignment="1">
      <alignment horizontal="center" vertical="center" wrapText="1"/>
    </xf>
    <xf numFmtId="0" fontId="12" fillId="55" borderId="5"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56" borderId="3" xfId="0" applyFont="1" applyFill="1" applyBorder="1" applyAlignment="1">
      <alignment horizontal="center" vertical="center" wrapText="1"/>
    </xf>
    <xf numFmtId="0" fontId="2" fillId="56" borderId="4" xfId="0" applyFont="1" applyFill="1" applyBorder="1" applyAlignment="1">
      <alignment horizontal="center" vertical="center" wrapText="1"/>
    </xf>
    <xf numFmtId="0" fontId="2" fillId="56" borderId="6" xfId="0" applyFont="1" applyFill="1" applyBorder="1" applyAlignment="1">
      <alignment horizontal="center" vertical="center" wrapText="1"/>
    </xf>
    <xf numFmtId="0" fontId="2" fillId="58" borderId="13" xfId="0" applyFont="1" applyFill="1" applyBorder="1" applyAlignment="1">
      <alignment horizontal="center" vertical="center" wrapText="1"/>
    </xf>
    <xf numFmtId="0" fontId="2" fillId="58" borderId="7" xfId="0" applyFont="1" applyFill="1" applyBorder="1" applyAlignment="1">
      <alignment horizontal="center" vertical="center" wrapText="1"/>
    </xf>
    <xf numFmtId="0" fontId="2" fillId="58" borderId="4" xfId="0" applyFont="1" applyFill="1" applyBorder="1" applyAlignment="1">
      <alignment horizontal="center" vertical="center" wrapText="1"/>
    </xf>
    <xf numFmtId="0" fontId="2" fillId="59" borderId="3" xfId="0" applyFont="1" applyFill="1" applyBorder="1" applyAlignment="1">
      <alignment horizontal="center" vertical="center" wrapText="1"/>
    </xf>
    <xf numFmtId="0" fontId="2" fillId="59" borderId="4" xfId="0" applyFont="1" applyFill="1" applyBorder="1" applyAlignment="1">
      <alignment horizontal="center" vertical="center" wrapText="1"/>
    </xf>
    <xf numFmtId="0" fontId="2" fillId="60" borderId="3" xfId="0" applyFont="1" applyFill="1" applyBorder="1" applyAlignment="1">
      <alignment horizontal="center" vertical="center" wrapText="1"/>
    </xf>
    <xf numFmtId="0" fontId="2" fillId="60" borderId="4" xfId="0" applyFont="1" applyFill="1" applyBorder="1" applyAlignment="1">
      <alignment horizontal="center" vertical="center" wrapText="1"/>
    </xf>
    <xf numFmtId="0" fontId="2" fillId="61" borderId="6" xfId="0" applyFont="1" applyFill="1" applyBorder="1" applyAlignment="1">
      <alignment horizontal="center" vertical="center" wrapText="1"/>
    </xf>
    <xf numFmtId="0" fontId="2" fillId="61" borderId="4" xfId="0" applyFont="1" applyFill="1" applyBorder="1" applyAlignment="1">
      <alignment horizontal="center" vertical="center" wrapText="1"/>
    </xf>
    <xf numFmtId="0" fontId="2" fillId="63" borderId="1" xfId="0" applyFont="1" applyFill="1" applyBorder="1" applyAlignment="1">
      <alignment horizontal="center" vertical="center" wrapText="1"/>
    </xf>
    <xf numFmtId="0" fontId="2" fillId="63" borderId="4" xfId="0" applyFont="1" applyFill="1" applyBorder="1" applyAlignment="1">
      <alignment horizontal="center" vertical="center" wrapText="1"/>
    </xf>
    <xf numFmtId="0" fontId="2" fillId="65" borderId="3" xfId="0" applyFont="1" applyFill="1" applyBorder="1" applyAlignment="1">
      <alignment horizontal="center" vertical="center" wrapText="1"/>
    </xf>
    <xf numFmtId="0" fontId="2" fillId="65" borderId="4" xfId="0" applyFont="1" applyFill="1" applyBorder="1" applyAlignment="1">
      <alignment horizontal="center" vertical="center" wrapText="1"/>
    </xf>
    <xf numFmtId="0" fontId="3" fillId="66" borderId="5"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1" fontId="2" fillId="4" borderId="1" xfId="0" applyNumberFormat="1" applyFont="1" applyFill="1" applyBorder="1" applyAlignment="1" applyProtection="1">
      <alignment horizontal="center" vertical="center" wrapText="1"/>
      <protection locked="0"/>
    </xf>
    <xf numFmtId="1" fontId="2" fillId="4" borderId="4" xfId="0" applyNumberFormat="1" applyFont="1" applyFill="1" applyBorder="1" applyAlignment="1" applyProtection="1">
      <alignment horizontal="center" vertical="center" wrapText="1"/>
      <protection locked="0"/>
    </xf>
    <xf numFmtId="1" fontId="2" fillId="15" borderId="3" xfId="0" applyNumberFormat="1" applyFont="1" applyFill="1" applyBorder="1" applyAlignment="1" applyProtection="1">
      <alignment horizontal="center" vertical="center" wrapText="1"/>
      <protection locked="0"/>
    </xf>
    <xf numFmtId="1" fontId="2" fillId="15" borderId="4" xfId="0" applyNumberFormat="1" applyFont="1" applyFill="1" applyBorder="1" applyAlignment="1" applyProtection="1">
      <alignment horizontal="center" vertical="center" wrapText="1"/>
      <protection locked="0"/>
    </xf>
    <xf numFmtId="1" fontId="2" fillId="15" borderId="6" xfId="0" applyNumberFormat="1" applyFont="1" applyFill="1" applyBorder="1" applyAlignment="1" applyProtection="1">
      <alignment horizontal="center" vertical="center" wrapText="1"/>
      <protection locked="0"/>
    </xf>
    <xf numFmtId="0" fontId="2" fillId="53" borderId="5" xfId="0" applyFont="1" applyFill="1" applyBorder="1" applyAlignment="1">
      <alignment horizontal="center" vertical="center" wrapText="1"/>
    </xf>
    <xf numFmtId="1" fontId="2" fillId="4" borderId="6" xfId="0" applyNumberFormat="1" applyFont="1" applyFill="1" applyBorder="1" applyAlignment="1" applyProtection="1">
      <alignment horizontal="center" vertical="center" wrapText="1"/>
      <protection locked="0"/>
    </xf>
    <xf numFmtId="1" fontId="2" fillId="6" borderId="6" xfId="0" applyNumberFormat="1" applyFont="1" applyFill="1" applyBorder="1" applyAlignment="1" applyProtection="1">
      <alignment horizontal="center" vertical="center" wrapText="1"/>
      <protection locked="0"/>
    </xf>
    <xf numFmtId="1" fontId="2" fillId="6" borderId="4" xfId="0" applyNumberFormat="1" applyFont="1" applyFill="1" applyBorder="1" applyAlignment="1" applyProtection="1">
      <alignment horizontal="center" vertical="center" wrapText="1"/>
      <protection locked="0"/>
    </xf>
    <xf numFmtId="0" fontId="12" fillId="52" borderId="5" xfId="0" applyFont="1" applyFill="1" applyBorder="1" applyAlignment="1">
      <alignment vertical="center" wrapText="1"/>
    </xf>
    <xf numFmtId="0" fontId="2" fillId="53" borderId="6" xfId="0" applyFont="1" applyFill="1" applyBorder="1" applyAlignment="1">
      <alignment horizontal="center" vertical="center" wrapText="1"/>
    </xf>
    <xf numFmtId="0" fontId="3" fillId="54" borderId="6" xfId="0" applyFont="1" applyFill="1" applyBorder="1" applyAlignment="1">
      <alignment horizontal="center" vertical="center" wrapText="1"/>
    </xf>
    <xf numFmtId="1" fontId="2" fillId="15" borderId="5"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14" borderId="5" xfId="0" applyFont="1" applyFill="1" applyBorder="1" applyAlignment="1" applyProtection="1">
      <alignment vertical="center" wrapText="1"/>
      <protection locked="0"/>
    </xf>
    <xf numFmtId="0" fontId="2" fillId="17" borderId="3" xfId="0" applyFont="1" applyFill="1" applyBorder="1" applyAlignment="1" applyProtection="1">
      <alignment horizontal="center" vertical="center" wrapText="1"/>
      <protection locked="0"/>
    </xf>
    <xf numFmtId="0" fontId="2" fillId="17" borderId="4" xfId="0" applyFont="1" applyFill="1" applyBorder="1" applyAlignment="1" applyProtection="1">
      <alignment horizontal="center" vertical="center" wrapText="1"/>
      <protection locked="0"/>
    </xf>
    <xf numFmtId="0" fontId="2" fillId="17" borderId="6"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9" borderId="4"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2" fillId="20" borderId="6" xfId="0" applyFont="1" applyFill="1" applyBorder="1" applyAlignment="1" applyProtection="1">
      <alignment horizontal="center" vertical="center" wrapText="1"/>
      <protection locked="0"/>
    </xf>
    <xf numFmtId="0" fontId="2" fillId="20" borderId="4" xfId="0" applyFont="1" applyFill="1" applyBorder="1" applyAlignment="1" applyProtection="1">
      <alignment horizontal="center" vertical="center" wrapText="1"/>
      <protection locked="0"/>
    </xf>
    <xf numFmtId="0" fontId="2" fillId="20" borderId="3" xfId="0" applyFont="1" applyFill="1" applyBorder="1" applyAlignment="1" applyProtection="1">
      <alignment horizontal="center" vertical="center" wrapText="1"/>
      <protection locked="0"/>
    </xf>
    <xf numFmtId="0" fontId="2" fillId="24" borderId="15" xfId="0" applyFont="1" applyFill="1" applyBorder="1" applyAlignment="1" applyProtection="1">
      <alignment horizontal="center" vertical="center" wrapText="1"/>
      <protection locked="0"/>
    </xf>
    <xf numFmtId="0" fontId="2" fillId="24" borderId="14" xfId="0" applyFont="1" applyFill="1" applyBorder="1" applyAlignment="1" applyProtection="1">
      <alignment horizontal="center" vertical="center" wrapText="1"/>
      <protection locked="0"/>
    </xf>
    <xf numFmtId="0" fontId="2" fillId="24" borderId="6" xfId="0" applyFont="1" applyFill="1" applyBorder="1" applyAlignment="1" applyProtection="1">
      <alignment horizontal="center" vertical="center" wrapText="1"/>
      <protection locked="0"/>
    </xf>
    <xf numFmtId="0" fontId="2" fillId="24" borderId="13" xfId="0" applyFont="1" applyFill="1" applyBorder="1" applyAlignment="1" applyProtection="1">
      <alignment horizontal="center" vertical="center" wrapText="1"/>
      <protection locked="0"/>
    </xf>
    <xf numFmtId="0" fontId="2" fillId="24" borderId="4" xfId="0" applyFont="1" applyFill="1" applyBorder="1" applyAlignment="1" applyProtection="1">
      <alignment horizontal="center" vertical="center" wrapText="1"/>
      <protection locked="0"/>
    </xf>
    <xf numFmtId="0" fontId="2" fillId="28" borderId="3" xfId="0" applyFont="1" applyFill="1" applyBorder="1" applyAlignment="1" applyProtection="1">
      <alignment horizontal="center" vertical="center" wrapText="1"/>
      <protection locked="0"/>
    </xf>
    <xf numFmtId="0" fontId="2" fillId="28" borderId="4" xfId="0" applyFont="1" applyFill="1" applyBorder="1" applyAlignment="1" applyProtection="1">
      <alignment horizontal="center" vertical="center" wrapText="1"/>
      <protection locked="0"/>
    </xf>
    <xf numFmtId="0" fontId="2" fillId="28" borderId="1" xfId="0" applyFont="1" applyFill="1" applyBorder="1" applyAlignment="1" applyProtection="1">
      <alignment horizontal="center" vertical="center" wrapText="1"/>
      <protection locked="0"/>
    </xf>
    <xf numFmtId="0" fontId="2" fillId="30" borderId="4" xfId="0" applyFont="1" applyFill="1" applyBorder="1" applyAlignment="1" applyProtection="1">
      <alignment horizontal="center" vertical="center" wrapText="1"/>
      <protection locked="0"/>
    </xf>
    <xf numFmtId="0" fontId="2" fillId="30" borderId="5" xfId="0" applyFont="1" applyFill="1" applyBorder="1" applyAlignment="1" applyProtection="1">
      <alignment horizontal="center" vertical="center" wrapText="1"/>
      <protection locked="0"/>
    </xf>
    <xf numFmtId="0" fontId="2" fillId="34" borderId="6" xfId="0" applyFont="1" applyFill="1" applyBorder="1" applyAlignment="1" applyProtection="1">
      <alignment horizontal="center" vertical="center" wrapText="1"/>
      <protection locked="0"/>
    </xf>
    <xf numFmtId="0" fontId="2" fillId="34" borderId="4" xfId="0" applyFont="1" applyFill="1" applyBorder="1" applyAlignment="1" applyProtection="1">
      <alignment horizontal="center" vertical="center" wrapText="1"/>
      <protection locked="0"/>
    </xf>
    <xf numFmtId="0" fontId="2" fillId="34" borderId="3" xfId="0" applyFont="1" applyFill="1" applyBorder="1" applyAlignment="1" applyProtection="1">
      <alignment horizontal="center" vertical="center" wrapText="1"/>
      <protection locked="0"/>
    </xf>
    <xf numFmtId="0" fontId="2" fillId="38" borderId="3" xfId="0" applyFont="1" applyFill="1" applyBorder="1" applyAlignment="1" applyProtection="1">
      <alignment horizontal="center" vertical="center" wrapText="1"/>
      <protection locked="0"/>
    </xf>
    <xf numFmtId="0" fontId="2" fillId="38" borderId="4" xfId="0" applyFont="1" applyFill="1" applyBorder="1" applyAlignment="1" applyProtection="1">
      <alignment horizontal="center" vertical="center" wrapText="1"/>
      <protection locked="0"/>
    </xf>
    <xf numFmtId="0" fontId="2" fillId="38" borderId="1" xfId="0" applyFont="1" applyFill="1" applyBorder="1" applyAlignment="1" applyProtection="1">
      <alignment horizontal="center" vertical="center" wrapText="1"/>
      <protection locked="0"/>
    </xf>
    <xf numFmtId="0" fontId="2" fillId="42" borderId="1" xfId="0" applyFont="1" applyFill="1" applyBorder="1" applyAlignment="1" applyProtection="1">
      <alignment horizontal="center" vertical="center" wrapText="1"/>
      <protection locked="0"/>
    </xf>
    <xf numFmtId="0" fontId="2" fillId="42" borderId="4" xfId="0" applyFont="1" applyFill="1" applyBorder="1" applyAlignment="1" applyProtection="1">
      <alignment horizontal="center" vertical="center" wrapText="1"/>
      <protection locked="0"/>
    </xf>
    <xf numFmtId="0" fontId="3" fillId="45" borderId="5" xfId="0" applyFont="1" applyFill="1" applyBorder="1" applyAlignment="1" applyProtection="1">
      <alignment horizontal="center" vertical="center" wrapText="1"/>
      <protection locked="0"/>
    </xf>
    <xf numFmtId="0" fontId="3" fillId="46" borderId="5" xfId="0" applyFont="1" applyFill="1" applyBorder="1" applyAlignment="1" applyProtection="1">
      <alignment horizontal="center" vertical="center" wrapText="1"/>
      <protection locked="0"/>
    </xf>
    <xf numFmtId="0" fontId="2" fillId="18" borderId="3" xfId="0"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0" fontId="2" fillId="18" borderId="6" xfId="0" applyFont="1" applyFill="1" applyBorder="1" applyAlignment="1" applyProtection="1">
      <alignment horizontal="center" vertical="center" wrapText="1"/>
      <protection locked="0"/>
    </xf>
    <xf numFmtId="2" fontId="5" fillId="44" borderId="5" xfId="0" applyNumberFormat="1" applyFont="1" applyFill="1" applyBorder="1" applyAlignment="1" applyProtection="1">
      <alignment vertical="center" wrapText="1"/>
      <protection locked="0"/>
    </xf>
    <xf numFmtId="1" fontId="2" fillId="6" borderId="1" xfId="0" applyNumberFormat="1" applyFont="1" applyFill="1" applyBorder="1" applyAlignment="1" applyProtection="1">
      <alignment horizontal="center" vertical="center" wrapText="1"/>
      <protection locked="0"/>
    </xf>
    <xf numFmtId="1" fontId="2" fillId="18" borderId="6" xfId="0" applyNumberFormat="1" applyFont="1" applyFill="1" applyBorder="1" applyAlignment="1" applyProtection="1">
      <alignment horizontal="center" vertical="center" wrapText="1"/>
      <protection locked="0"/>
    </xf>
    <xf numFmtId="1" fontId="2" fillId="17" borderId="6" xfId="0" applyNumberFormat="1" applyFont="1" applyFill="1" applyBorder="1" applyAlignment="1" applyProtection="1">
      <alignment horizontal="center" vertical="center" wrapText="1"/>
      <protection locked="0"/>
    </xf>
    <xf numFmtId="1" fontId="2" fillId="18" borderId="4" xfId="0" applyNumberFormat="1" applyFont="1" applyFill="1" applyBorder="1" applyAlignment="1" applyProtection="1">
      <alignment horizontal="center" vertical="center" wrapText="1"/>
      <protection locked="0"/>
    </xf>
    <xf numFmtId="1" fontId="2" fillId="17" borderId="4" xfId="0" applyNumberFormat="1" applyFont="1" applyFill="1" applyBorder="1" applyAlignment="1" applyProtection="1">
      <alignment horizontal="center" vertical="center" wrapText="1"/>
      <protection locked="0"/>
    </xf>
    <xf numFmtId="0" fontId="2" fillId="43" borderId="6" xfId="0" applyFont="1" applyFill="1" applyBorder="1" applyAlignment="1" applyProtection="1">
      <alignment horizontal="center" vertical="center" wrapText="1"/>
      <protection locked="0"/>
    </xf>
    <xf numFmtId="0" fontId="2" fillId="43" borderId="4" xfId="0"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wrapText="1"/>
      <protection locked="0"/>
    </xf>
    <xf numFmtId="0" fontId="2" fillId="53" borderId="13" xfId="0" applyFont="1" applyFill="1" applyBorder="1" applyAlignment="1">
      <alignment horizontal="center" vertical="center" wrapText="1"/>
    </xf>
    <xf numFmtId="2" fontId="11" fillId="5" borderId="5" xfId="0" applyNumberFormat="1" applyFont="1" applyFill="1" applyBorder="1" applyAlignment="1">
      <alignment horizontal="center" vertical="center" wrapText="1" readingOrder="2"/>
    </xf>
    <xf numFmtId="1" fontId="10" fillId="5" borderId="4" xfId="0" applyNumberFormat="1" applyFont="1" applyFill="1" applyBorder="1" applyAlignment="1">
      <alignment horizontal="center" vertical="center" wrapText="1"/>
    </xf>
    <xf numFmtId="2" fontId="20" fillId="0" borderId="0" xfId="0" applyNumberFormat="1" applyFont="1"/>
    <xf numFmtId="2" fontId="3" fillId="2" borderId="1" xfId="0" applyNumberFormat="1" applyFont="1" applyFill="1" applyBorder="1" applyAlignment="1">
      <alignment horizontal="center" vertical="center" wrapText="1"/>
    </xf>
    <xf numFmtId="1" fontId="5" fillId="13" borderId="5"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wrapText="1"/>
    </xf>
    <xf numFmtId="0" fontId="3" fillId="2" borderId="1" xfId="0" applyFont="1" applyFill="1" applyBorder="1" applyAlignment="1">
      <alignment horizontal="center" vertical="center" wrapText="1" readingOrder="2"/>
    </xf>
    <xf numFmtId="0" fontId="0" fillId="0" borderId="17" xfId="0" applyBorder="1" applyAlignment="1">
      <alignment horizontal="center" vertical="center" wrapText="1"/>
    </xf>
    <xf numFmtId="0" fontId="2" fillId="51" borderId="13" xfId="0" applyFont="1" applyFill="1" applyBorder="1" applyAlignment="1">
      <alignment horizontal="center" vertical="center" wrapText="1"/>
    </xf>
    <xf numFmtId="1" fontId="2" fillId="4" borderId="5"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58" borderId="6" xfId="0" applyFont="1" applyFill="1" applyBorder="1" applyAlignment="1">
      <alignment horizontal="center" vertical="center" wrapText="1"/>
    </xf>
    <xf numFmtId="0" fontId="5" fillId="44" borderId="5" xfId="0" applyFont="1" applyFill="1" applyBorder="1" applyAlignment="1" applyProtection="1">
      <alignment horizontal="center" vertical="center" wrapText="1"/>
      <protection locked="0"/>
    </xf>
    <xf numFmtId="0" fontId="2" fillId="63" borderId="3" xfId="0" applyFont="1" applyFill="1" applyBorder="1" applyAlignment="1">
      <alignment horizontal="center" vertical="center" wrapText="1"/>
    </xf>
    <xf numFmtId="0" fontId="18" fillId="0" borderId="0" xfId="0" applyFont="1"/>
    <xf numFmtId="0" fontId="19" fillId="0" borderId="0" xfId="0" applyFont="1"/>
    <xf numFmtId="0" fontId="12" fillId="67" borderId="5" xfId="0" applyFont="1" applyFill="1" applyBorder="1" applyAlignment="1">
      <alignment horizontal="center" vertical="center" wrapText="1"/>
    </xf>
    <xf numFmtId="0" fontId="19" fillId="0" borderId="0" xfId="0" applyFont="1" applyAlignment="1">
      <alignment vertical="center"/>
    </xf>
    <xf numFmtId="0" fontId="3" fillId="18" borderId="10"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3" fillId="21" borderId="7" xfId="0" applyFont="1" applyFill="1" applyBorder="1" applyAlignment="1" applyProtection="1">
      <alignment horizontal="center" vertical="center" wrapText="1"/>
      <protection locked="0"/>
    </xf>
    <xf numFmtId="0" fontId="15" fillId="50" borderId="29" xfId="0" applyFont="1" applyFill="1" applyBorder="1" applyAlignment="1">
      <alignment horizontal="center" vertical="center"/>
    </xf>
    <xf numFmtId="0" fontId="3" fillId="0" borderId="0" xfId="0" applyFont="1" applyAlignment="1">
      <alignment vertical="center" wrapText="1"/>
    </xf>
    <xf numFmtId="0" fontId="7" fillId="0" borderId="0" xfId="0" applyFont="1" applyAlignment="1">
      <alignment vertical="center" wrapText="1"/>
    </xf>
    <xf numFmtId="0" fontId="19" fillId="0" borderId="0" xfId="0" applyFont="1" applyAlignment="1">
      <alignment horizontal="center" vertical="center" readingOrder="2"/>
    </xf>
    <xf numFmtId="0" fontId="0" fillId="0" borderId="17" xfId="0" applyBorder="1" applyAlignment="1">
      <alignment vertical="center"/>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12" fillId="3" borderId="4" xfId="0" applyFont="1" applyFill="1" applyBorder="1" applyAlignment="1">
      <alignment horizontal="center" vertical="center" wrapText="1"/>
    </xf>
    <xf numFmtId="1" fontId="2" fillId="4" borderId="10" xfId="0" applyNumberFormat="1" applyFont="1" applyFill="1" applyBorder="1" applyAlignment="1" applyProtection="1">
      <alignment horizontal="center" vertical="center" wrapText="1"/>
      <protection locked="0"/>
    </xf>
    <xf numFmtId="1" fontId="2" fillId="4" borderId="13" xfId="0" applyNumberFormat="1" applyFont="1" applyFill="1" applyBorder="1" applyAlignment="1" applyProtection="1">
      <alignment horizontal="center" vertical="center" wrapText="1"/>
      <protection locked="0"/>
    </xf>
    <xf numFmtId="0" fontId="2" fillId="53" borderId="10" xfId="0" applyFont="1" applyFill="1" applyBorder="1" applyAlignment="1">
      <alignment horizontal="center" vertical="center" wrapText="1"/>
    </xf>
    <xf numFmtId="0" fontId="2" fillId="53" borderId="13" xfId="0" applyFont="1" applyFill="1" applyBorder="1" applyAlignment="1">
      <alignment horizontal="center" vertical="center" wrapText="1"/>
    </xf>
    <xf numFmtId="0" fontId="12" fillId="27" borderId="3" xfId="0" applyFont="1" applyFill="1" applyBorder="1" applyAlignment="1">
      <alignment horizontal="center" vertical="center" wrapText="1"/>
    </xf>
    <xf numFmtId="0" fontId="12" fillId="27" borderId="4" xfId="0" applyFont="1" applyFill="1" applyBorder="1" applyAlignment="1">
      <alignment horizontal="center" vertical="center" wrapText="1"/>
    </xf>
    <xf numFmtId="2" fontId="5" fillId="25" borderId="10" xfId="0" applyNumberFormat="1" applyFont="1" applyFill="1" applyBorder="1" applyAlignment="1">
      <alignment horizontal="center" vertical="center" wrapText="1"/>
    </xf>
    <xf numFmtId="2" fontId="5" fillId="25" borderId="13" xfId="0" applyNumberFormat="1" applyFont="1" applyFill="1" applyBorder="1" applyAlignment="1">
      <alignment horizontal="center" vertical="center" wrapText="1"/>
    </xf>
    <xf numFmtId="0" fontId="3" fillId="25" borderId="7" xfId="0" applyFont="1" applyFill="1" applyBorder="1" applyAlignment="1">
      <alignment horizontal="center" vertical="center" wrapText="1"/>
    </xf>
    <xf numFmtId="0" fontId="3" fillId="25" borderId="13" xfId="0" applyFont="1" applyFill="1" applyBorder="1" applyAlignment="1">
      <alignment horizontal="center" vertical="center" wrapText="1"/>
    </xf>
    <xf numFmtId="0" fontId="5" fillId="26" borderId="4" xfId="0" applyFont="1" applyFill="1" applyBorder="1" applyAlignment="1">
      <alignment horizontal="center" vertical="center"/>
    </xf>
    <xf numFmtId="0" fontId="5" fillId="26" borderId="6"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3" borderId="6" xfId="0" applyFont="1" applyFill="1" applyBorder="1" applyAlignment="1">
      <alignment horizontal="center" vertical="center"/>
    </xf>
    <xf numFmtId="0" fontId="5" fillId="23" borderId="4" xfId="0" applyFont="1" applyFill="1" applyBorder="1" applyAlignment="1">
      <alignment horizontal="center" vertical="center"/>
    </xf>
    <xf numFmtId="0" fontId="5" fillId="23" borderId="3" xfId="0" applyFont="1" applyFill="1" applyBorder="1" applyAlignment="1">
      <alignment horizontal="center" vertical="center"/>
    </xf>
    <xf numFmtId="0" fontId="5" fillId="13" borderId="10"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1" fontId="2" fillId="15" borderId="7" xfId="0" applyNumberFormat="1" applyFont="1" applyFill="1" applyBorder="1" applyAlignment="1" applyProtection="1">
      <alignment horizontal="center" vertical="center" wrapText="1"/>
      <protection locked="0"/>
    </xf>
    <xf numFmtId="1" fontId="2" fillId="15" borderId="13" xfId="0" applyNumberFormat="1" applyFont="1" applyFill="1" applyBorder="1" applyAlignment="1" applyProtection="1">
      <alignment horizontal="center" vertical="center" wrapText="1"/>
      <protection locked="0"/>
    </xf>
    <xf numFmtId="0" fontId="3" fillId="54" borderId="10" xfId="0" applyFont="1" applyFill="1" applyBorder="1" applyAlignment="1">
      <alignment horizontal="center" vertical="center" wrapText="1"/>
    </xf>
    <xf numFmtId="0" fontId="3" fillId="54" borderId="13" xfId="0" applyFont="1" applyFill="1" applyBorder="1" applyAlignment="1">
      <alignment horizontal="center" vertical="center" wrapText="1"/>
    </xf>
    <xf numFmtId="2" fontId="10" fillId="19" borderId="10" xfId="0" applyNumberFormat="1" applyFont="1" applyFill="1" applyBorder="1" applyAlignment="1">
      <alignment horizontal="center" vertical="center" wrapText="1"/>
    </xf>
    <xf numFmtId="2" fontId="10" fillId="19" borderId="13" xfId="0" applyNumberFormat="1"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12" fillId="55" borderId="10" xfId="0" applyFont="1" applyFill="1" applyBorder="1" applyAlignment="1">
      <alignment horizontal="center" vertical="center" wrapText="1"/>
    </xf>
    <xf numFmtId="0" fontId="12" fillId="55" borderId="13" xfId="0" applyFont="1" applyFill="1" applyBorder="1" applyAlignment="1">
      <alignment horizontal="center" vertical="center" wrapText="1"/>
    </xf>
    <xf numFmtId="2" fontId="5" fillId="13" borderId="10" xfId="0" applyNumberFormat="1" applyFont="1" applyFill="1" applyBorder="1" applyAlignment="1">
      <alignment horizontal="center" vertical="center" wrapText="1"/>
    </xf>
    <xf numFmtId="2" fontId="5" fillId="13" borderId="13"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2" fontId="10" fillId="5" borderId="6" xfId="0" applyNumberFormat="1" applyFont="1" applyFill="1" applyBorder="1" applyAlignment="1">
      <alignment horizontal="center" vertical="center" wrapText="1"/>
    </xf>
    <xf numFmtId="2" fontId="10" fillId="5" borderId="4" xfId="0" applyNumberFormat="1" applyFont="1" applyFill="1" applyBorder="1" applyAlignment="1">
      <alignment horizontal="center" vertical="center" wrapText="1"/>
    </xf>
    <xf numFmtId="2" fontId="5" fillId="13" borderId="6" xfId="0" applyNumberFormat="1" applyFont="1" applyFill="1" applyBorder="1" applyAlignment="1">
      <alignment horizontal="center" vertical="center" wrapText="1"/>
    </xf>
    <xf numFmtId="2" fontId="5" fillId="13" borderId="4" xfId="0" applyNumberFormat="1" applyFont="1" applyFill="1" applyBorder="1" applyAlignment="1">
      <alignment horizontal="center" vertical="center" wrapText="1"/>
    </xf>
    <xf numFmtId="0" fontId="5" fillId="36" borderId="10" xfId="0" applyFont="1" applyFill="1" applyBorder="1" applyAlignment="1">
      <alignment horizontal="center" vertical="center" wrapText="1"/>
    </xf>
    <xf numFmtId="0" fontId="5" fillId="36" borderId="13" xfId="0" applyFont="1" applyFill="1" applyBorder="1" applyAlignment="1">
      <alignment horizontal="center" vertical="center" wrapText="1"/>
    </xf>
    <xf numFmtId="0" fontId="5" fillId="40" borderId="3" xfId="0" applyFont="1" applyFill="1" applyBorder="1" applyAlignment="1">
      <alignment horizontal="center" vertical="center" wrapText="1"/>
    </xf>
    <xf numFmtId="0" fontId="5" fillId="40" borderId="4" xfId="0" applyFont="1" applyFill="1" applyBorder="1" applyAlignment="1">
      <alignment horizontal="center" vertical="center" wrapText="1"/>
    </xf>
    <xf numFmtId="0" fontId="5" fillId="40" borderId="6" xfId="0" applyFont="1" applyFill="1" applyBorder="1" applyAlignment="1" applyProtection="1">
      <alignment horizontal="center" vertical="center" wrapText="1"/>
      <protection locked="0"/>
    </xf>
    <xf numFmtId="0" fontId="5" fillId="40" borderId="4" xfId="0" applyFont="1" applyFill="1" applyBorder="1" applyAlignment="1" applyProtection="1">
      <alignment horizontal="center" vertical="center" wrapText="1"/>
      <protection locked="0"/>
    </xf>
    <xf numFmtId="0" fontId="5" fillId="32" borderId="6" xfId="0" applyFont="1" applyFill="1" applyBorder="1" applyAlignment="1">
      <alignment horizontal="center" vertical="center" wrapText="1"/>
    </xf>
    <xf numFmtId="0" fontId="5" fillId="32" borderId="4" xfId="0" applyFont="1" applyFill="1" applyBorder="1" applyAlignment="1">
      <alignment horizontal="center" vertical="center" wrapText="1"/>
    </xf>
    <xf numFmtId="0" fontId="5" fillId="36" borderId="7"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23" borderId="10" xfId="0" applyFont="1" applyFill="1" applyBorder="1" applyAlignment="1">
      <alignment horizontal="center" vertical="center"/>
    </xf>
    <xf numFmtId="0" fontId="5" fillId="23" borderId="13" xfId="0" applyFont="1" applyFill="1" applyBorder="1" applyAlignment="1">
      <alignment horizontal="center" vertical="center"/>
    </xf>
    <xf numFmtId="0" fontId="5" fillId="16" borderId="10"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5" borderId="10"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3" fillId="14" borderId="10" xfId="0" applyFont="1" applyFill="1" applyBorder="1" applyAlignment="1" applyProtection="1">
      <alignment horizontal="center" vertical="center" wrapText="1"/>
      <protection locked="0"/>
    </xf>
    <xf numFmtId="0" fontId="3" fillId="14" borderId="13" xfId="0" applyFont="1" applyFill="1" applyBorder="1" applyAlignment="1" applyProtection="1">
      <alignment horizontal="center" vertical="center" wrapText="1"/>
      <protection locked="0"/>
    </xf>
    <xf numFmtId="0" fontId="6" fillId="18" borderId="7"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3" fillId="18" borderId="10" xfId="0" applyFont="1" applyFill="1" applyBorder="1" applyAlignment="1" applyProtection="1">
      <alignment horizontal="center" vertical="center" wrapText="1"/>
      <protection locked="0"/>
    </xf>
    <xf numFmtId="0" fontId="3" fillId="18" borderId="13"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12" fillId="36" borderId="7" xfId="0" applyFont="1" applyFill="1" applyBorder="1" applyAlignment="1">
      <alignment horizontal="center" vertical="center" wrapText="1"/>
    </xf>
    <xf numFmtId="0" fontId="12" fillId="36" borderId="13" xfId="0" applyFont="1" applyFill="1" applyBorder="1" applyAlignment="1">
      <alignment horizontal="center" vertical="center" wrapText="1"/>
    </xf>
    <xf numFmtId="0" fontId="12" fillId="36" borderId="8" xfId="0" applyFont="1" applyFill="1" applyBorder="1" applyAlignment="1">
      <alignment horizontal="center" vertical="center" wrapText="1"/>
    </xf>
    <xf numFmtId="2" fontId="10" fillId="37" borderId="15" xfId="0" applyNumberFormat="1" applyFont="1" applyFill="1" applyBorder="1" applyAlignment="1">
      <alignment horizontal="center" vertical="center" wrapText="1"/>
    </xf>
    <xf numFmtId="2" fontId="10" fillId="37" borderId="14" xfId="0" applyNumberFormat="1" applyFont="1" applyFill="1" applyBorder="1" applyAlignment="1">
      <alignment horizontal="center" vertical="center" wrapText="1"/>
    </xf>
    <xf numFmtId="2" fontId="10" fillId="41" borderId="15" xfId="0" applyNumberFormat="1" applyFont="1" applyFill="1" applyBorder="1" applyAlignment="1">
      <alignment horizontal="center" vertical="center" wrapText="1"/>
    </xf>
    <xf numFmtId="2" fontId="10" fillId="41" borderId="14" xfId="0" applyNumberFormat="1" applyFont="1" applyFill="1" applyBorder="1" applyAlignment="1">
      <alignment horizontal="center" vertical="center" wrapText="1"/>
    </xf>
    <xf numFmtId="0" fontId="12" fillId="40" borderId="10" xfId="0" applyFont="1" applyFill="1" applyBorder="1" applyAlignment="1">
      <alignment horizontal="center" vertical="center" wrapText="1"/>
    </xf>
    <xf numFmtId="0" fontId="12" fillId="40" borderId="13" xfId="0" applyFont="1" applyFill="1" applyBorder="1" applyAlignment="1">
      <alignment horizontal="center" vertical="center" wrapText="1"/>
    </xf>
    <xf numFmtId="2" fontId="10" fillId="41" borderId="16" xfId="0" applyNumberFormat="1" applyFont="1" applyFill="1" applyBorder="1" applyAlignment="1" applyProtection="1">
      <alignment horizontal="center" vertical="center" wrapText="1"/>
      <protection locked="0"/>
    </xf>
    <xf numFmtId="2" fontId="10" fillId="41" borderId="14" xfId="0" applyNumberFormat="1" applyFont="1" applyFill="1" applyBorder="1" applyAlignment="1" applyProtection="1">
      <alignment horizontal="center" vertical="center" wrapText="1"/>
      <protection locked="0"/>
    </xf>
    <xf numFmtId="0" fontId="12" fillId="32" borderId="10" xfId="0" applyFont="1" applyFill="1" applyBorder="1" applyAlignment="1">
      <alignment horizontal="center" vertical="center" wrapText="1"/>
    </xf>
    <xf numFmtId="0" fontId="12" fillId="32" borderId="7" xfId="0" applyFont="1" applyFill="1" applyBorder="1" applyAlignment="1">
      <alignment horizontal="center" vertical="center" wrapText="1"/>
    </xf>
    <xf numFmtId="0" fontId="12" fillId="29" borderId="1" xfId="0" applyFont="1" applyFill="1" applyBorder="1" applyAlignment="1">
      <alignment horizontal="center" vertical="center" wrapText="1"/>
    </xf>
    <xf numFmtId="0" fontId="12" fillId="29" borderId="4" xfId="0" applyFont="1" applyFill="1" applyBorder="1" applyAlignment="1">
      <alignment horizontal="center" vertical="center" wrapText="1"/>
    </xf>
    <xf numFmtId="2" fontId="5" fillId="31" borderId="3" xfId="0" applyNumberFormat="1" applyFont="1" applyFill="1" applyBorder="1" applyAlignment="1">
      <alignment horizontal="center" vertical="center" wrapText="1"/>
    </xf>
    <xf numFmtId="2" fontId="5" fillId="31" borderId="4" xfId="0" applyNumberFormat="1" applyFont="1" applyFill="1" applyBorder="1" applyAlignment="1">
      <alignment horizontal="center" vertical="center" wrapText="1"/>
    </xf>
    <xf numFmtId="2" fontId="5" fillId="33" borderId="6" xfId="0" applyNumberFormat="1" applyFont="1" applyFill="1" applyBorder="1" applyAlignment="1">
      <alignment horizontal="center" vertical="center" wrapText="1"/>
    </xf>
    <xf numFmtId="2" fontId="5" fillId="33" borderId="4" xfId="0" applyNumberFormat="1" applyFont="1" applyFill="1" applyBorder="1" applyAlignment="1">
      <alignment horizontal="center" vertical="center" wrapText="1"/>
    </xf>
    <xf numFmtId="0" fontId="12" fillId="32" borderId="6" xfId="0" applyFont="1" applyFill="1" applyBorder="1" applyAlignment="1">
      <alignment horizontal="center" vertical="center" wrapText="1"/>
    </xf>
    <xf numFmtId="0" fontId="12" fillId="32" borderId="4" xfId="0" applyFont="1" applyFill="1" applyBorder="1" applyAlignment="1">
      <alignment horizontal="center" vertical="center" wrapText="1"/>
    </xf>
    <xf numFmtId="0" fontId="12" fillId="27" borderId="10"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2" fillId="29" borderId="3" xfId="0" applyFont="1" applyFill="1" applyBorder="1" applyAlignment="1">
      <alignment horizontal="center" vertical="center" wrapText="1"/>
    </xf>
    <xf numFmtId="2" fontId="5" fillId="23" borderId="6" xfId="0" applyNumberFormat="1" applyFont="1" applyFill="1" applyBorder="1" applyAlignment="1">
      <alignment horizontal="center" vertical="center"/>
    </xf>
    <xf numFmtId="2" fontId="5" fillId="23" borderId="4" xfId="0" applyNumberFormat="1" applyFont="1" applyFill="1" applyBorder="1" applyAlignment="1">
      <alignment horizontal="center" vertical="center"/>
    </xf>
    <xf numFmtId="0" fontId="12" fillId="22" borderId="16" xfId="0" applyFont="1" applyFill="1" applyBorder="1" applyAlignment="1">
      <alignment horizontal="center" vertical="center" wrapText="1"/>
    </xf>
    <xf numFmtId="0" fontId="12" fillId="22" borderId="14" xfId="0" applyFont="1" applyFill="1" applyBorder="1" applyAlignment="1">
      <alignment horizontal="center" vertical="center" wrapText="1"/>
    </xf>
    <xf numFmtId="0" fontId="12" fillId="22" borderId="15" xfId="0" applyFont="1" applyFill="1" applyBorder="1" applyAlignment="1">
      <alignment horizontal="center" vertical="center" wrapText="1"/>
    </xf>
    <xf numFmtId="2" fontId="10" fillId="19" borderId="6" xfId="0" applyNumberFormat="1" applyFont="1" applyFill="1" applyBorder="1" applyAlignment="1">
      <alignment horizontal="center" vertical="center" wrapText="1"/>
    </xf>
    <xf numFmtId="2" fontId="10" fillId="19" borderId="4" xfId="0" applyNumberFormat="1" applyFont="1" applyFill="1" applyBorder="1" applyAlignment="1">
      <alignment horizontal="center" vertical="center" wrapText="1"/>
    </xf>
    <xf numFmtId="2" fontId="10" fillId="19" borderId="7"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6" borderId="3" xfId="0" applyFont="1" applyFill="1" applyBorder="1" applyAlignment="1">
      <alignment horizontal="center" vertical="center" wrapText="1"/>
    </xf>
    <xf numFmtId="2" fontId="10" fillId="5" borderId="10" xfId="0" applyNumberFormat="1" applyFont="1" applyFill="1" applyBorder="1" applyAlignment="1">
      <alignment horizontal="center" vertical="center" wrapText="1"/>
    </xf>
    <xf numFmtId="2" fontId="10" fillId="5" borderId="13"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52" borderId="10" xfId="0" applyFont="1" applyFill="1" applyBorder="1" applyAlignment="1">
      <alignment horizontal="center" vertical="center" wrapText="1"/>
    </xf>
    <xf numFmtId="0" fontId="12" fillId="52" borderId="13" xfId="0" applyFont="1" applyFill="1" applyBorder="1" applyAlignment="1">
      <alignment horizontal="center" vertical="center" wrapText="1"/>
    </xf>
    <xf numFmtId="1" fontId="10" fillId="5" borderId="6" xfId="0" applyNumberFormat="1" applyFont="1" applyFill="1" applyBorder="1" applyAlignment="1">
      <alignment horizontal="center" vertical="center" wrapText="1"/>
    </xf>
    <xf numFmtId="1" fontId="10" fillId="5" borderId="4" xfId="0" applyNumberFormat="1" applyFont="1" applyFill="1" applyBorder="1" applyAlignment="1">
      <alignment horizontal="center" vertical="center" wrapText="1"/>
    </xf>
    <xf numFmtId="0" fontId="4" fillId="11" borderId="1" xfId="0" applyFont="1" applyFill="1" applyBorder="1" applyAlignment="1">
      <alignment horizontal="center" vertical="center"/>
    </xf>
    <xf numFmtId="2" fontId="2" fillId="6" borderId="10" xfId="0" applyNumberFormat="1" applyFont="1" applyFill="1" applyBorder="1" applyAlignment="1" applyProtection="1">
      <alignment horizontal="center" vertical="center" wrapText="1"/>
      <protection locked="0"/>
    </xf>
    <xf numFmtId="2" fontId="2" fillId="6" borderId="13" xfId="0" applyNumberFormat="1" applyFont="1" applyFill="1" applyBorder="1" applyAlignment="1" applyProtection="1">
      <alignment horizontal="center" vertical="center" wrapText="1"/>
      <protection locked="0"/>
    </xf>
    <xf numFmtId="2" fontId="2" fillId="4" borderId="10" xfId="0" applyNumberFormat="1" applyFont="1" applyFill="1" applyBorder="1" applyAlignment="1" applyProtection="1">
      <alignment horizontal="center" vertical="center" wrapText="1"/>
      <protection locked="0"/>
    </xf>
    <xf numFmtId="2" fontId="2" fillId="4" borderId="13" xfId="0" applyNumberFormat="1" applyFont="1" applyFill="1" applyBorder="1" applyAlignment="1" applyProtection="1">
      <alignment horizontal="center" vertical="center" wrapText="1"/>
      <protection locked="0"/>
    </xf>
    <xf numFmtId="0" fontId="24" fillId="3" borderId="8" xfId="0" applyFont="1" applyFill="1" applyBorder="1" applyAlignment="1">
      <alignment horizontal="center" vertical="center" textRotation="90" wrapText="1"/>
    </xf>
    <xf numFmtId="0" fontId="24" fillId="3" borderId="7" xfId="0" applyFont="1" applyFill="1" applyBorder="1" applyAlignment="1">
      <alignment horizontal="center" vertical="center" textRotation="90" wrapText="1"/>
    </xf>
    <xf numFmtId="0" fontId="24" fillId="3" borderId="3" xfId="0" applyFont="1" applyFill="1" applyBorder="1" applyAlignment="1">
      <alignment horizontal="center" vertical="center" textRotation="90" wrapText="1"/>
    </xf>
    <xf numFmtId="1" fontId="2" fillId="6" borderId="8" xfId="0" applyNumberFormat="1" applyFont="1" applyFill="1" applyBorder="1" applyAlignment="1" applyProtection="1">
      <alignment horizontal="center" vertical="center" wrapText="1"/>
      <protection locked="0"/>
    </xf>
    <xf numFmtId="1" fontId="2" fillId="6" borderId="3" xfId="0" applyNumberFormat="1" applyFont="1" applyFill="1" applyBorder="1" applyAlignment="1" applyProtection="1">
      <alignment horizontal="center" vertical="center" wrapText="1"/>
      <protection locked="0"/>
    </xf>
    <xf numFmtId="1" fontId="2" fillId="4" borderId="8"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wrapText="1"/>
      <protection locked="0"/>
    </xf>
    <xf numFmtId="0" fontId="4" fillId="11" borderId="8" xfId="0" applyFont="1" applyFill="1" applyBorder="1" applyAlignment="1">
      <alignment horizontal="center" vertical="center"/>
    </xf>
    <xf numFmtId="0" fontId="4" fillId="11" borderId="3" xfId="0" applyFont="1" applyFill="1" applyBorder="1" applyAlignment="1">
      <alignment horizontal="center" vertical="center"/>
    </xf>
    <xf numFmtId="0" fontId="24" fillId="26" borderId="1" xfId="0" applyFont="1" applyFill="1" applyBorder="1" applyAlignment="1">
      <alignment horizontal="center" vertical="center" textRotation="90"/>
    </xf>
    <xf numFmtId="0" fontId="5" fillId="31" borderId="10" xfId="0" applyFont="1" applyFill="1" applyBorder="1" applyAlignment="1">
      <alignment horizontal="center" vertical="center" wrapText="1"/>
    </xf>
    <xf numFmtId="0" fontId="5" fillId="31" borderId="13" xfId="0" applyFont="1" applyFill="1" applyBorder="1" applyAlignment="1">
      <alignment horizontal="center" vertical="center" wrapText="1"/>
    </xf>
    <xf numFmtId="0" fontId="12" fillId="57" borderId="10" xfId="0" applyFont="1" applyFill="1" applyBorder="1" applyAlignment="1">
      <alignment horizontal="center" vertical="center" wrapText="1"/>
    </xf>
    <xf numFmtId="0" fontId="12" fillId="57" borderId="13"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12" fillId="62" borderId="10" xfId="0" applyFont="1" applyFill="1" applyBorder="1" applyAlignment="1">
      <alignment horizontal="center" vertical="center" wrapText="1"/>
    </xf>
    <xf numFmtId="0" fontId="12" fillId="62" borderId="7" xfId="0" applyFont="1" applyFill="1" applyBorder="1" applyAlignment="1">
      <alignment horizontal="center" vertical="center" wrapText="1"/>
    </xf>
    <xf numFmtId="2" fontId="4" fillId="33" borderId="6" xfId="0" applyNumberFormat="1" applyFont="1" applyFill="1" applyBorder="1" applyAlignment="1">
      <alignment horizontal="center" vertical="center" wrapText="1"/>
    </xf>
    <xf numFmtId="2" fontId="4" fillId="33" borderId="4" xfId="0" applyNumberFormat="1" applyFont="1" applyFill="1" applyBorder="1" applyAlignment="1">
      <alignment horizontal="center" vertical="center" wrapText="1"/>
    </xf>
    <xf numFmtId="2" fontId="11" fillId="19" borderId="10" xfId="0" applyNumberFormat="1" applyFont="1" applyFill="1" applyBorder="1" applyAlignment="1">
      <alignment horizontal="center" vertical="center" wrapText="1"/>
    </xf>
    <xf numFmtId="2" fontId="11" fillId="19" borderId="13" xfId="0" applyNumberFormat="1" applyFont="1" applyFill="1" applyBorder="1" applyAlignment="1">
      <alignment horizontal="center" vertical="center" wrapText="1"/>
    </xf>
    <xf numFmtId="2" fontId="10" fillId="8" borderId="10" xfId="0" applyNumberFormat="1" applyFont="1" applyFill="1" applyBorder="1" applyAlignment="1">
      <alignment horizontal="center" vertical="center" wrapText="1"/>
    </xf>
    <xf numFmtId="2" fontId="10" fillId="8" borderId="13" xfId="0" applyNumberFormat="1"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 fillId="50" borderId="1" xfId="0" applyFont="1" applyFill="1" applyBorder="1" applyAlignment="1">
      <alignment horizontal="center" vertical="center"/>
    </xf>
    <xf numFmtId="0" fontId="24" fillId="16" borderId="8" xfId="0" applyFont="1" applyFill="1" applyBorder="1" applyAlignment="1">
      <alignment horizontal="center" vertical="center" textRotation="90" wrapText="1"/>
    </xf>
    <xf numFmtId="0" fontId="24" fillId="16" borderId="7" xfId="0" applyFont="1" applyFill="1" applyBorder="1" applyAlignment="1">
      <alignment horizontal="center" vertical="center" textRotation="90" wrapText="1"/>
    </xf>
    <xf numFmtId="0" fontId="8" fillId="47" borderId="1" xfId="0" applyFont="1" applyFill="1" applyBorder="1" applyAlignment="1">
      <alignment horizontal="center" vertical="center"/>
    </xf>
    <xf numFmtId="0" fontId="24" fillId="12" borderId="8" xfId="0" applyFont="1" applyFill="1" applyBorder="1" applyAlignment="1">
      <alignment horizontal="center" vertical="center" textRotation="90" wrapText="1"/>
    </xf>
    <xf numFmtId="0" fontId="24" fillId="12" borderId="7" xfId="0" applyFont="1" applyFill="1" applyBorder="1" applyAlignment="1">
      <alignment horizontal="center" vertical="center" textRotation="90" wrapText="1"/>
    </xf>
    <xf numFmtId="0" fontId="24" fillId="12" borderId="3" xfId="0" applyFont="1" applyFill="1" applyBorder="1" applyAlignment="1">
      <alignment horizontal="center" vertical="center" textRotation="90" wrapText="1"/>
    </xf>
    <xf numFmtId="0" fontId="2" fillId="17" borderId="10" xfId="0" applyFont="1" applyFill="1" applyBorder="1" applyAlignment="1" applyProtection="1">
      <alignment horizontal="center" vertical="center" wrapText="1"/>
      <protection locked="0"/>
    </xf>
    <xf numFmtId="0" fontId="2" fillId="17" borderId="13" xfId="0" applyFont="1" applyFill="1" applyBorder="1" applyAlignment="1" applyProtection="1">
      <alignment horizontal="center" vertical="center" wrapText="1"/>
      <protection locked="0"/>
    </xf>
    <xf numFmtId="0" fontId="2" fillId="34" borderId="10" xfId="0" applyFont="1" applyFill="1" applyBorder="1" applyAlignment="1" applyProtection="1">
      <alignment horizontal="center" vertical="center" wrapText="1"/>
      <protection locked="0"/>
    </xf>
    <xf numFmtId="0" fontId="2" fillId="34" borderId="13" xfId="0" applyFont="1" applyFill="1" applyBorder="1" applyAlignment="1" applyProtection="1">
      <alignment horizontal="center" vertical="center" wrapText="1"/>
      <protection locked="0"/>
    </xf>
    <xf numFmtId="0" fontId="13" fillId="37" borderId="6" xfId="0" applyFont="1" applyFill="1" applyBorder="1" applyAlignment="1">
      <alignment horizontal="center" vertical="center" wrapText="1"/>
    </xf>
    <xf numFmtId="0" fontId="14" fillId="37" borderId="4" xfId="0" applyFont="1" applyFill="1" applyBorder="1" applyAlignment="1">
      <alignment horizontal="center" vertical="center" wrapText="1"/>
    </xf>
    <xf numFmtId="0" fontId="7" fillId="37" borderId="6" xfId="0" applyFont="1" applyFill="1" applyBorder="1" applyAlignment="1" applyProtection="1">
      <alignment horizontal="center" vertical="center" wrapText="1"/>
      <protection locked="0"/>
    </xf>
    <xf numFmtId="0" fontId="7" fillId="37" borderId="4" xfId="0" applyFont="1" applyFill="1" applyBorder="1" applyAlignment="1" applyProtection="1">
      <alignment horizontal="center" vertical="center" wrapText="1"/>
      <protection locked="0"/>
    </xf>
    <xf numFmtId="0" fontId="3" fillId="42" borderId="7" xfId="0" applyFont="1" applyFill="1" applyBorder="1" applyAlignment="1" applyProtection="1">
      <alignment horizontal="center" vertical="center" wrapText="1"/>
      <protection locked="0"/>
    </xf>
    <xf numFmtId="0" fontId="3" fillId="42" borderId="13" xfId="0" applyFont="1" applyFill="1" applyBorder="1" applyAlignment="1" applyProtection="1">
      <alignment horizontal="center" vertical="center" wrapText="1"/>
      <protection locked="0"/>
    </xf>
    <xf numFmtId="0" fontId="3" fillId="30" borderId="6" xfId="0" applyFont="1" applyFill="1" applyBorder="1" applyAlignment="1" applyProtection="1">
      <alignment horizontal="center" vertical="center" wrapText="1"/>
      <protection locked="0"/>
    </xf>
    <xf numFmtId="0" fontId="3" fillId="30" borderId="4" xfId="0" applyFont="1" applyFill="1" applyBorder="1" applyAlignment="1" applyProtection="1">
      <alignment horizontal="center" vertical="center" wrapText="1"/>
      <protection locked="0"/>
    </xf>
    <xf numFmtId="0" fontId="3" fillId="21" borderId="7" xfId="0" applyFont="1" applyFill="1" applyBorder="1" applyAlignment="1" applyProtection="1">
      <alignment horizontal="center" vertical="center" wrapText="1"/>
      <protection locked="0"/>
    </xf>
    <xf numFmtId="0" fontId="3" fillId="21" borderId="13" xfId="0" applyFont="1" applyFill="1" applyBorder="1" applyAlignment="1" applyProtection="1">
      <alignment horizontal="center" vertical="center" wrapText="1"/>
      <protection locked="0"/>
    </xf>
    <xf numFmtId="0" fontId="3" fillId="25" borderId="7" xfId="0" applyFont="1" applyFill="1" applyBorder="1" applyAlignment="1" applyProtection="1">
      <alignment horizontal="center" vertical="center" wrapText="1"/>
      <protection locked="0"/>
    </xf>
    <xf numFmtId="0" fontId="3" fillId="25" borderId="13" xfId="0" applyFont="1" applyFill="1" applyBorder="1" applyAlignment="1" applyProtection="1">
      <alignment horizontal="center" vertical="center" wrapText="1"/>
      <protection locked="0"/>
    </xf>
    <xf numFmtId="0" fontId="3" fillId="25" borderId="10" xfId="0" applyFont="1" applyFill="1" applyBorder="1" applyAlignment="1" applyProtection="1">
      <alignment horizontal="center" vertical="center" wrapText="1"/>
      <protection locked="0"/>
    </xf>
    <xf numFmtId="0" fontId="3" fillId="42" borderId="10" xfId="0" applyFont="1" applyFill="1" applyBorder="1" applyAlignment="1" applyProtection="1">
      <alignment horizontal="center" vertical="center" wrapText="1"/>
      <protection locked="0"/>
    </xf>
    <xf numFmtId="0" fontId="24" fillId="7" borderId="1" xfId="0" applyFont="1" applyFill="1" applyBorder="1" applyAlignment="1">
      <alignment horizontal="center" vertical="center" textRotation="90"/>
    </xf>
    <xf numFmtId="1" fontId="5" fillId="13" borderId="10" xfId="0" applyNumberFormat="1" applyFont="1" applyFill="1" applyBorder="1" applyAlignment="1">
      <alignment horizontal="center" vertical="center" wrapText="1"/>
    </xf>
    <xf numFmtId="1" fontId="5" fillId="13" borderId="13" xfId="0" applyNumberFormat="1" applyFont="1" applyFill="1" applyBorder="1" applyAlignment="1">
      <alignment horizontal="center" vertical="center" wrapText="1"/>
    </xf>
    <xf numFmtId="0" fontId="3" fillId="35" borderId="10" xfId="0" applyFont="1" applyFill="1" applyBorder="1" applyAlignment="1" applyProtection="1">
      <alignment horizontal="center" vertical="center" wrapText="1"/>
      <protection locked="0"/>
    </xf>
    <xf numFmtId="0" fontId="3" fillId="35" borderId="13" xfId="0" applyFont="1" applyFill="1" applyBorder="1" applyAlignment="1" applyProtection="1">
      <alignment horizontal="center" vertical="center" wrapText="1"/>
      <protection locked="0"/>
    </xf>
    <xf numFmtId="0" fontId="7" fillId="37" borderId="3" xfId="0" applyFont="1" applyFill="1" applyBorder="1" applyAlignment="1" applyProtection="1">
      <alignment horizontal="center" vertical="center" wrapText="1"/>
      <protection locked="0"/>
    </xf>
    <xf numFmtId="0" fontId="24" fillId="23" borderId="7" xfId="0" applyFont="1" applyFill="1" applyBorder="1" applyAlignment="1">
      <alignment horizontal="center" vertical="center" textRotation="90"/>
    </xf>
    <xf numFmtId="0" fontId="24" fillId="23" borderId="3" xfId="0" applyFont="1" applyFill="1" applyBorder="1" applyAlignment="1">
      <alignment horizontal="center" vertical="center" textRotation="90"/>
    </xf>
    <xf numFmtId="0" fontId="2" fillId="38" borderId="10" xfId="0" applyFont="1" applyFill="1" applyBorder="1" applyAlignment="1" applyProtection="1">
      <alignment horizontal="center" vertical="center" wrapText="1"/>
      <protection locked="0"/>
    </xf>
    <xf numFmtId="0" fontId="2" fillId="38" borderId="13" xfId="0" applyFont="1" applyFill="1" applyBorder="1" applyAlignment="1" applyProtection="1">
      <alignment horizontal="center" vertical="center" wrapText="1"/>
      <protection locked="0"/>
    </xf>
    <xf numFmtId="0" fontId="12" fillId="64" borderId="8" xfId="0" applyFont="1" applyFill="1" applyBorder="1" applyAlignment="1">
      <alignment horizontal="center" vertical="center" wrapText="1"/>
    </xf>
    <xf numFmtId="0" fontId="12" fillId="64" borderId="13" xfId="0" applyFont="1" applyFill="1" applyBorder="1" applyAlignment="1">
      <alignment horizontal="center" vertical="center" wrapText="1"/>
    </xf>
    <xf numFmtId="2" fontId="11" fillId="37" borderId="15" xfId="0" applyNumberFormat="1" applyFont="1" applyFill="1" applyBorder="1" applyAlignment="1">
      <alignment horizontal="center" vertical="center" wrapText="1"/>
    </xf>
    <xf numFmtId="2" fontId="11" fillId="37" borderId="14" xfId="0" applyNumberFormat="1" applyFont="1" applyFill="1" applyBorder="1" applyAlignment="1">
      <alignment horizontal="center" vertical="center" wrapText="1"/>
    </xf>
    <xf numFmtId="0" fontId="24" fillId="32" borderId="8" xfId="0" applyFont="1" applyFill="1" applyBorder="1" applyAlignment="1">
      <alignment horizontal="center" vertical="center" textRotation="90" wrapText="1"/>
    </xf>
    <xf numFmtId="0" fontId="24" fillId="32" borderId="7" xfId="0" applyFont="1" applyFill="1" applyBorder="1" applyAlignment="1">
      <alignment horizontal="center" vertical="center" textRotation="90" wrapText="1"/>
    </xf>
    <xf numFmtId="0" fontId="24" fillId="32" borderId="3" xfId="0" applyFont="1" applyFill="1" applyBorder="1" applyAlignment="1">
      <alignment horizontal="center" vertical="center" textRotation="90" wrapText="1"/>
    </xf>
    <xf numFmtId="0" fontId="24" fillId="31" borderId="1" xfId="0" applyFont="1" applyFill="1" applyBorder="1" applyAlignment="1">
      <alignment horizontal="center" vertical="center" textRotation="90" wrapText="1"/>
    </xf>
    <xf numFmtId="0" fontId="24" fillId="44" borderId="1" xfId="0" applyFont="1" applyFill="1" applyBorder="1" applyAlignment="1">
      <alignment horizontal="center" vertical="center" textRotation="90" wrapText="1"/>
    </xf>
    <xf numFmtId="0" fontId="12" fillId="32" borderId="13" xfId="0" applyFont="1" applyFill="1" applyBorder="1" applyAlignment="1">
      <alignment horizontal="center" vertical="center" wrapText="1"/>
    </xf>
    <xf numFmtId="0" fontId="24" fillId="40" borderId="8" xfId="0" applyFont="1" applyFill="1" applyBorder="1" applyAlignment="1">
      <alignment horizontal="center" vertical="center" textRotation="90" wrapText="1"/>
    </xf>
    <xf numFmtId="0" fontId="24" fillId="40" borderId="7" xfId="0" applyFont="1" applyFill="1" applyBorder="1" applyAlignment="1">
      <alignment horizontal="center" vertical="center" textRotation="90" wrapText="1"/>
    </xf>
    <xf numFmtId="0" fontId="2" fillId="42" borderId="10" xfId="0" applyFont="1" applyFill="1" applyBorder="1" applyAlignment="1" applyProtection="1">
      <alignment horizontal="center" vertical="center" wrapText="1"/>
      <protection locked="0"/>
    </xf>
    <xf numFmtId="0" fontId="2" fillId="42" borderId="13" xfId="0" applyFont="1" applyFill="1" applyBorder="1" applyAlignment="1" applyProtection="1">
      <alignment horizontal="center" vertical="center" wrapText="1"/>
      <protection locked="0"/>
    </xf>
    <xf numFmtId="0" fontId="2" fillId="65" borderId="10" xfId="0" applyFont="1" applyFill="1" applyBorder="1" applyAlignment="1">
      <alignment horizontal="center" vertical="center" wrapText="1"/>
    </xf>
    <xf numFmtId="0" fontId="2" fillId="65" borderId="13" xfId="0" applyFont="1" applyFill="1" applyBorder="1" applyAlignment="1">
      <alignment horizontal="center" vertical="center" wrapText="1"/>
    </xf>
    <xf numFmtId="0" fontId="24" fillId="36" borderId="8" xfId="0" applyFont="1" applyFill="1" applyBorder="1" applyAlignment="1">
      <alignment horizontal="center" vertical="center" textRotation="90" wrapText="1"/>
    </xf>
    <xf numFmtId="0" fontId="24" fillId="36" borderId="7" xfId="0" applyFont="1" applyFill="1" applyBorder="1" applyAlignment="1">
      <alignment horizontal="center" vertical="center" textRotation="90" wrapText="1"/>
    </xf>
    <xf numFmtId="0" fontId="24" fillId="36" borderId="3" xfId="0" applyFont="1" applyFill="1" applyBorder="1" applyAlignment="1">
      <alignment horizontal="center" vertical="center" textRotation="90" wrapText="1"/>
    </xf>
    <xf numFmtId="0" fontId="6" fillId="35" borderId="7" xfId="0" applyFont="1" applyFill="1" applyBorder="1" applyAlignment="1">
      <alignment horizontal="center" vertical="center" wrapText="1"/>
    </xf>
    <xf numFmtId="0" fontId="6" fillId="35" borderId="13" xfId="0" applyFont="1" applyFill="1" applyBorder="1" applyAlignment="1">
      <alignment horizontal="center" vertical="center" wrapText="1"/>
    </xf>
    <xf numFmtId="0" fontId="3" fillId="21" borderId="10" xfId="0" applyFont="1" applyFill="1" applyBorder="1" applyAlignment="1" applyProtection="1">
      <alignment horizontal="center" vertical="center" wrapText="1"/>
      <protection locked="0"/>
    </xf>
    <xf numFmtId="0" fontId="6" fillId="21" borderId="10" xfId="0" applyFont="1" applyFill="1" applyBorder="1" applyAlignment="1">
      <alignment horizontal="center" vertical="center" wrapText="1"/>
    </xf>
    <xf numFmtId="0" fontId="6" fillId="21" borderId="13"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4" fillId="35" borderId="13" xfId="0" applyFont="1" applyFill="1" applyBorder="1" applyAlignment="1">
      <alignment horizontal="center" vertical="center" wrapText="1"/>
    </xf>
    <xf numFmtId="0" fontId="14" fillId="35" borderId="10" xfId="0" applyFont="1" applyFill="1" applyBorder="1" applyAlignment="1">
      <alignment horizontal="center" vertical="center" wrapText="1"/>
    </xf>
    <xf numFmtId="0" fontId="6" fillId="35" borderId="7" xfId="0" applyFont="1" applyFill="1" applyBorder="1" applyAlignment="1" applyProtection="1">
      <alignment horizontal="center" vertical="center" wrapText="1"/>
      <protection locked="0"/>
    </xf>
    <xf numFmtId="0" fontId="6" fillId="35" borderId="13" xfId="0" applyFont="1" applyFill="1" applyBorder="1" applyAlignment="1" applyProtection="1">
      <alignment horizontal="center" vertical="center" wrapText="1"/>
      <protection locked="0"/>
    </xf>
    <xf numFmtId="0" fontId="14" fillId="35" borderId="7" xfId="0" applyFont="1" applyFill="1" applyBorder="1" applyAlignment="1" applyProtection="1">
      <alignment horizontal="center" vertical="center" wrapText="1"/>
      <protection locked="0"/>
    </xf>
    <xf numFmtId="0" fontId="14" fillId="35" borderId="13" xfId="0" applyFont="1" applyFill="1" applyBorder="1" applyAlignment="1" applyProtection="1">
      <alignment horizontal="center" vertical="center" wrapText="1"/>
      <protection locked="0"/>
    </xf>
    <xf numFmtId="0" fontId="6" fillId="25" borderId="10" xfId="0" applyFont="1" applyFill="1" applyBorder="1" applyAlignment="1">
      <alignment horizontal="center" vertical="center" wrapText="1"/>
    </xf>
    <xf numFmtId="0" fontId="6" fillId="25" borderId="13" xfId="0" applyFont="1" applyFill="1" applyBorder="1" applyAlignment="1">
      <alignment horizontal="center" vertical="center" wrapText="1"/>
    </xf>
    <xf numFmtId="0" fontId="3" fillId="30" borderId="3" xfId="0" applyFont="1" applyFill="1" applyBorder="1" applyAlignment="1" applyProtection="1">
      <alignment horizontal="center" vertical="center" wrapText="1"/>
      <protection locked="0"/>
    </xf>
    <xf numFmtId="0" fontId="3" fillId="18" borderId="7"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3" fillId="10" borderId="13" xfId="0" applyFont="1" applyFill="1" applyBorder="1" applyAlignment="1" applyProtection="1">
      <alignment horizontal="center" vertical="center" wrapText="1"/>
      <protection locked="0"/>
    </xf>
    <xf numFmtId="0" fontId="2" fillId="56" borderId="10" xfId="0" applyFont="1" applyFill="1" applyBorder="1" applyAlignment="1">
      <alignment horizontal="center" vertical="center" wrapText="1"/>
    </xf>
    <xf numFmtId="0" fontId="2" fillId="56" borderId="13" xfId="0" applyFont="1" applyFill="1" applyBorder="1" applyAlignment="1">
      <alignment horizontal="center" vertical="center" wrapText="1"/>
    </xf>
    <xf numFmtId="0" fontId="13" fillId="37" borderId="6" xfId="0" applyFont="1" applyFill="1" applyBorder="1" applyAlignment="1" applyProtection="1">
      <alignment horizontal="center" vertical="center" wrapText="1"/>
      <protection locked="0"/>
    </xf>
    <xf numFmtId="0" fontId="14" fillId="37" borderId="4" xfId="0" applyFont="1" applyFill="1" applyBorder="1" applyAlignment="1" applyProtection="1">
      <alignment horizontal="center" vertical="center" wrapText="1"/>
      <protection locked="0"/>
    </xf>
    <xf numFmtId="0" fontId="6" fillId="18" borderId="7" xfId="0" applyFont="1" applyFill="1" applyBorder="1" applyAlignment="1" applyProtection="1">
      <alignment horizontal="center" vertical="center" wrapText="1"/>
      <protection locked="0"/>
    </xf>
    <xf numFmtId="0" fontId="6" fillId="18" borderId="13" xfId="0" applyFont="1" applyFill="1" applyBorder="1" applyAlignment="1" applyProtection="1">
      <alignment horizontal="center" vertical="center" wrapText="1"/>
      <protection locked="0"/>
    </xf>
    <xf numFmtId="0" fontId="6" fillId="18" borderId="10" xfId="0" applyFont="1" applyFill="1" applyBorder="1" applyAlignment="1" applyProtection="1">
      <alignment horizontal="center" vertical="center" wrapText="1"/>
      <protection locked="0"/>
    </xf>
    <xf numFmtId="0" fontId="6" fillId="21" borderId="10" xfId="0" applyFont="1" applyFill="1" applyBorder="1" applyAlignment="1" applyProtection="1">
      <alignment horizontal="center" vertical="center" wrapText="1"/>
      <protection locked="0"/>
    </xf>
    <xf numFmtId="0" fontId="6" fillId="21" borderId="13" xfId="0" applyFont="1" applyFill="1" applyBorder="1" applyAlignment="1" applyProtection="1">
      <alignment horizontal="center" vertical="center" wrapText="1"/>
      <protection locked="0"/>
    </xf>
    <xf numFmtId="0" fontId="6" fillId="25" borderId="10" xfId="0" applyFont="1" applyFill="1" applyBorder="1" applyAlignment="1" applyProtection="1">
      <alignment horizontal="center" vertical="center" wrapText="1"/>
      <protection locked="0"/>
    </xf>
    <xf numFmtId="0" fontId="6" fillId="25" borderId="13" xfId="0" applyFont="1" applyFill="1" applyBorder="1" applyAlignment="1" applyProtection="1">
      <alignment horizontal="center" vertical="center" wrapText="1"/>
      <protection locked="0"/>
    </xf>
    <xf numFmtId="0" fontId="15" fillId="47" borderId="20" xfId="0" applyFont="1" applyFill="1" applyBorder="1" applyAlignment="1">
      <alignment horizontal="center" vertical="center"/>
    </xf>
    <xf numFmtId="0" fontId="15" fillId="47" borderId="21" xfId="0" applyFont="1" applyFill="1" applyBorder="1" applyAlignment="1">
      <alignment horizontal="center" vertical="center"/>
    </xf>
    <xf numFmtId="0" fontId="4" fillId="48" borderId="18" xfId="0" applyFont="1" applyFill="1" applyBorder="1" applyAlignment="1">
      <alignment horizontal="center" vertical="center" wrapText="1"/>
    </xf>
    <xf numFmtId="0" fontId="4" fillId="48" borderId="23" xfId="0" applyFont="1" applyFill="1" applyBorder="1" applyAlignment="1">
      <alignment horizontal="center" vertical="center" wrapText="1"/>
    </xf>
    <xf numFmtId="0" fontId="15" fillId="68" borderId="22" xfId="0" applyFont="1" applyFill="1" applyBorder="1" applyAlignment="1">
      <alignment horizontal="center" vertical="center"/>
    </xf>
    <xf numFmtId="0" fontId="15" fillId="68" borderId="33" xfId="0" applyFont="1" applyFill="1" applyBorder="1" applyAlignment="1">
      <alignment horizontal="center" vertical="center"/>
    </xf>
    <xf numFmtId="0" fontId="15" fillId="50" borderId="26" xfId="0" applyFont="1" applyFill="1" applyBorder="1" applyAlignment="1">
      <alignment horizontal="center" vertical="center"/>
    </xf>
    <xf numFmtId="0" fontId="15" fillId="50" borderId="27" xfId="0" applyFont="1" applyFill="1" applyBorder="1" applyAlignment="1">
      <alignment horizontal="center" vertical="center"/>
    </xf>
    <xf numFmtId="0" fontId="4" fillId="48" borderId="19" xfId="0" applyFont="1" applyFill="1" applyBorder="1" applyAlignment="1">
      <alignment horizontal="center" vertical="center" wrapText="1"/>
    </xf>
    <xf numFmtId="0" fontId="4" fillId="48" borderId="32" xfId="0" applyFont="1" applyFill="1" applyBorder="1" applyAlignment="1">
      <alignment horizontal="center" vertical="center" wrapText="1"/>
    </xf>
    <xf numFmtId="0" fontId="23" fillId="47" borderId="0" xfId="0" applyFont="1" applyFill="1" applyAlignment="1">
      <alignment horizontal="center" vertical="center"/>
    </xf>
    <xf numFmtId="0" fontId="15" fillId="47" borderId="26" xfId="0" applyFont="1" applyFill="1" applyBorder="1" applyAlignment="1">
      <alignment horizontal="center" vertical="center"/>
    </xf>
    <xf numFmtId="0" fontId="15" fillId="47" borderId="27" xfId="0" applyFont="1" applyFill="1" applyBorder="1" applyAlignment="1">
      <alignment horizontal="center" vertical="center"/>
    </xf>
    <xf numFmtId="0" fontId="4" fillId="48" borderId="30" xfId="0" applyFont="1" applyFill="1" applyBorder="1" applyAlignment="1">
      <alignment horizontal="center" vertical="center" wrapText="1"/>
    </xf>
    <xf numFmtId="0" fontId="4" fillId="48" borderId="31" xfId="0" applyFont="1" applyFill="1" applyBorder="1" applyAlignment="1">
      <alignment horizontal="center" vertical="center" wrapText="1"/>
    </xf>
    <xf numFmtId="0" fontId="15" fillId="50" borderId="26" xfId="0" applyFont="1" applyFill="1" applyBorder="1" applyAlignment="1">
      <alignment horizontal="center" vertical="center" wrapText="1"/>
    </xf>
    <xf numFmtId="0" fontId="16" fillId="49" borderId="28" xfId="0" applyFont="1" applyFill="1" applyBorder="1" applyAlignment="1">
      <alignment horizontal="center" vertical="center"/>
    </xf>
    <xf numFmtId="0" fontId="16" fillId="49" borderId="27" xfId="0" applyFont="1" applyFill="1" applyBorder="1" applyAlignment="1">
      <alignment horizontal="center" vertical="center"/>
    </xf>
    <xf numFmtId="0" fontId="16" fillId="49" borderId="26" xfId="0" applyFont="1" applyFill="1" applyBorder="1" applyAlignment="1">
      <alignment horizontal="center" vertical="center"/>
    </xf>
    <xf numFmtId="0" fontId="16" fillId="48" borderId="26" xfId="0" applyFont="1" applyFill="1" applyBorder="1" applyAlignment="1">
      <alignment horizontal="center" vertical="center"/>
    </xf>
    <xf numFmtId="0" fontId="16" fillId="48" borderId="27" xfId="0" applyFont="1" applyFill="1" applyBorder="1" applyAlignment="1">
      <alignment horizontal="center" vertical="center"/>
    </xf>
    <xf numFmtId="0" fontId="15" fillId="50" borderId="20" xfId="0" applyFont="1" applyFill="1" applyBorder="1" applyAlignment="1">
      <alignment horizontal="center" vertical="center"/>
    </xf>
    <xf numFmtId="0" fontId="15" fillId="50" borderId="21" xfId="0" applyFont="1" applyFill="1" applyBorder="1" applyAlignment="1">
      <alignment horizontal="center" vertical="center"/>
    </xf>
    <xf numFmtId="0" fontId="25" fillId="5" borderId="4"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12" fillId="13" borderId="4" xfId="0" applyFont="1" applyFill="1" applyBorder="1" applyAlignment="1">
      <alignment horizontal="center" vertical="center" wrapText="1"/>
    </xf>
    <xf numFmtId="1" fontId="26" fillId="15" borderId="4" xfId="0" applyNumberFormat="1" applyFont="1" applyFill="1" applyBorder="1" applyAlignment="1" applyProtection="1">
      <alignment horizontal="center" vertical="center" wrapText="1"/>
      <protection locked="0"/>
    </xf>
    <xf numFmtId="0" fontId="12" fillId="13" borderId="11" xfId="0" applyFont="1" applyFill="1" applyBorder="1" applyAlignment="1">
      <alignment horizontal="center" vertical="center" wrapText="1"/>
    </xf>
    <xf numFmtId="0" fontId="26" fillId="14" borderId="5" xfId="0" applyFont="1" applyFill="1" applyBorder="1" applyAlignment="1">
      <alignment horizontal="center" vertical="center" wrapText="1"/>
    </xf>
    <xf numFmtId="0" fontId="26" fillId="14" borderId="13"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6" fillId="15" borderId="4" xfId="0" applyFont="1" applyFill="1" applyBorder="1" applyAlignment="1">
      <alignment horizontal="center" vertical="center" wrapText="1"/>
    </xf>
    <xf numFmtId="1" fontId="12" fillId="13" borderId="5" xfId="0" applyNumberFormat="1" applyFont="1" applyFill="1" applyBorder="1" applyAlignment="1">
      <alignment horizontal="center" vertical="center" wrapText="1"/>
    </xf>
    <xf numFmtId="0" fontId="26" fillId="14" borderId="10" xfId="0" applyFont="1" applyFill="1" applyBorder="1" applyAlignment="1">
      <alignment horizontal="center" vertical="center" wrapText="1"/>
    </xf>
    <xf numFmtId="0" fontId="26" fillId="14" borderId="13" xfId="0" applyFont="1" applyFill="1" applyBorder="1" applyAlignment="1">
      <alignment horizontal="center" vertical="center" wrapText="1"/>
    </xf>
    <xf numFmtId="0" fontId="25" fillId="19" borderId="17" xfId="0" applyFont="1" applyFill="1" applyBorder="1" applyAlignment="1">
      <alignment horizontal="center" vertical="center" wrapText="1"/>
    </xf>
    <xf numFmtId="0" fontId="26" fillId="18" borderId="3" xfId="0" applyFont="1" applyFill="1" applyBorder="1" applyAlignment="1">
      <alignment horizontal="center" vertical="center" wrapText="1"/>
    </xf>
    <xf numFmtId="0" fontId="25" fillId="19" borderId="11" xfId="0" applyFont="1" applyFill="1" applyBorder="1" applyAlignment="1">
      <alignment horizontal="center" vertical="center" wrapText="1"/>
    </xf>
    <xf numFmtId="0" fontId="26" fillId="17" borderId="4" xfId="0" applyFont="1" applyFill="1" applyBorder="1" applyAlignment="1">
      <alignment horizontal="center" vertical="center" wrapText="1"/>
    </xf>
    <xf numFmtId="0" fontId="25" fillId="19" borderId="9"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5" fillId="19" borderId="7" xfId="0" applyFont="1" applyFill="1" applyBorder="1" applyAlignment="1">
      <alignment horizontal="center" vertical="center" wrapText="1"/>
    </xf>
    <xf numFmtId="0" fontId="26" fillId="18" borderId="10" xfId="0" applyFont="1" applyFill="1" applyBorder="1" applyAlignment="1">
      <alignment horizontal="center" vertical="center" wrapText="1"/>
    </xf>
    <xf numFmtId="0" fontId="26" fillId="18" borderId="13" xfId="0" applyFont="1" applyFill="1" applyBorder="1" applyAlignment="1">
      <alignment horizontal="center" vertical="center" wrapText="1"/>
    </xf>
    <xf numFmtId="0" fontId="25" fillId="19" borderId="13"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26" fillId="21" borderId="4" xfId="0" applyFont="1" applyFill="1" applyBorder="1" applyAlignment="1">
      <alignment horizontal="center" vertical="center" wrapText="1"/>
    </xf>
    <xf numFmtId="0" fontId="12" fillId="22" borderId="6" xfId="0" applyFont="1" applyFill="1" applyBorder="1" applyAlignment="1">
      <alignment horizontal="center" vertical="center" wrapText="1"/>
    </xf>
    <xf numFmtId="0" fontId="26" fillId="20" borderId="6" xfId="0" applyFont="1" applyFill="1" applyBorder="1" applyAlignment="1">
      <alignment horizontal="center" vertical="center" wrapText="1"/>
    </xf>
    <xf numFmtId="0" fontId="26" fillId="24" borderId="19" xfId="0" applyFont="1" applyFill="1" applyBorder="1" applyAlignment="1">
      <alignment horizontal="center" vertical="center" wrapText="1"/>
    </xf>
    <xf numFmtId="0" fontId="26" fillId="25" borderId="25"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5" borderId="4" xfId="0" applyFont="1" applyFill="1" applyBorder="1" applyAlignment="1">
      <alignment horizontal="center" vertical="center" wrapText="1"/>
    </xf>
    <xf numFmtId="0" fontId="12" fillId="29" borderId="15" xfId="0" applyFont="1" applyFill="1" applyBorder="1" applyAlignment="1">
      <alignment horizontal="center" vertical="center" wrapText="1"/>
    </xf>
    <xf numFmtId="0" fontId="26" fillId="28" borderId="1" xfId="0" applyFont="1" applyFill="1" applyBorder="1" applyAlignment="1">
      <alignment horizontal="center" vertical="center" wrapText="1"/>
    </xf>
    <xf numFmtId="0" fontId="12" fillId="29" borderId="1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5" fillId="29" borderId="15" xfId="0" applyFont="1" applyFill="1" applyBorder="1" applyAlignment="1">
      <alignment horizontal="center" vertical="center" wrapText="1"/>
    </xf>
    <xf numFmtId="0" fontId="25" fillId="29" borderId="14" xfId="0" applyFont="1" applyFill="1" applyBorder="1" applyAlignment="1">
      <alignment horizontal="center" vertical="center" wrapText="1"/>
    </xf>
    <xf numFmtId="0" fontId="12" fillId="33" borderId="6" xfId="0" applyFont="1" applyFill="1" applyBorder="1" applyAlignment="1">
      <alignment horizontal="center" vertical="center" wrapText="1"/>
    </xf>
    <xf numFmtId="0" fontId="26" fillId="34" borderId="6" xfId="0" applyFont="1" applyFill="1" applyBorder="1" applyAlignment="1">
      <alignment horizontal="center" vertical="center" wrapText="1"/>
    </xf>
    <xf numFmtId="0" fontId="12" fillId="33" borderId="4" xfId="0" applyFont="1" applyFill="1" applyBorder="1" applyAlignment="1">
      <alignment horizontal="center" vertical="center" wrapText="1"/>
    </xf>
    <xf numFmtId="0" fontId="26" fillId="35" borderId="4" xfId="0" applyFont="1" applyFill="1" applyBorder="1" applyAlignment="1">
      <alignment horizontal="center" vertical="center" wrapText="1"/>
    </xf>
    <xf numFmtId="0" fontId="12" fillId="33" borderId="15" xfId="0" applyFont="1" applyFill="1" applyBorder="1" applyAlignment="1">
      <alignment horizontal="center" vertical="center" wrapText="1"/>
    </xf>
    <xf numFmtId="0" fontId="26" fillId="34" borderId="1" xfId="0" applyFont="1" applyFill="1" applyBorder="1" applyAlignment="1">
      <alignment horizontal="center" vertical="center" wrapText="1"/>
    </xf>
    <xf numFmtId="0" fontId="12" fillId="33" borderId="14" xfId="0" applyFont="1" applyFill="1" applyBorder="1" applyAlignment="1">
      <alignment horizontal="center" vertical="center" wrapText="1"/>
    </xf>
    <xf numFmtId="0" fontId="25" fillId="37" borderId="6" xfId="0" applyFont="1" applyFill="1" applyBorder="1" applyAlignment="1">
      <alignment horizontal="center" vertical="center" wrapText="1"/>
    </xf>
    <xf numFmtId="0" fontId="26" fillId="38" borderId="3" xfId="0" applyFont="1" applyFill="1" applyBorder="1" applyAlignment="1">
      <alignment horizontal="center" vertical="center" wrapText="1"/>
    </xf>
    <xf numFmtId="0" fontId="25" fillId="37" borderId="4" xfId="0" applyFont="1" applyFill="1" applyBorder="1" applyAlignment="1">
      <alignment horizontal="center" vertical="center" wrapText="1"/>
    </xf>
    <xf numFmtId="0" fontId="26" fillId="39" borderId="4" xfId="0" applyFont="1" applyFill="1" applyBorder="1" applyAlignment="1">
      <alignment horizontal="center" vertical="center" wrapText="1"/>
    </xf>
    <xf numFmtId="0" fontId="26" fillId="38" borderId="1" xfId="0" applyFont="1" applyFill="1" applyBorder="1" applyAlignment="1">
      <alignment horizontal="center" vertical="center" wrapText="1"/>
    </xf>
    <xf numFmtId="0" fontId="25" fillId="37" borderId="15" xfId="0" applyFont="1" applyFill="1" applyBorder="1" applyAlignment="1">
      <alignment horizontal="center" vertical="center" wrapText="1"/>
    </xf>
    <xf numFmtId="0" fontId="25" fillId="37" borderId="14" xfId="0" applyFont="1" applyFill="1" applyBorder="1" applyAlignment="1">
      <alignment horizontal="center" vertical="center" wrapText="1"/>
    </xf>
    <xf numFmtId="0" fontId="26" fillId="38" borderId="10" xfId="0" applyFont="1" applyFill="1" applyBorder="1" applyAlignment="1">
      <alignment horizontal="center" vertical="center" wrapText="1"/>
    </xf>
    <xf numFmtId="0" fontId="26" fillId="38" borderId="13" xfId="0" applyFont="1" applyFill="1" applyBorder="1" applyAlignment="1">
      <alignment horizontal="center" vertical="center" wrapText="1"/>
    </xf>
    <xf numFmtId="0" fontId="25" fillId="41" borderId="3" xfId="0" applyFont="1" applyFill="1" applyBorder="1" applyAlignment="1">
      <alignment horizontal="center" vertical="center" wrapText="1"/>
    </xf>
    <xf numFmtId="0" fontId="26" fillId="42" borderId="1" xfId="0" applyFont="1" applyFill="1" applyBorder="1" applyAlignment="1">
      <alignment horizontal="center" vertical="center" wrapText="1"/>
    </xf>
    <xf numFmtId="0" fontId="25" fillId="41" borderId="4" xfId="0" applyFont="1" applyFill="1" applyBorder="1" applyAlignment="1">
      <alignment horizontal="center" vertical="center" wrapText="1"/>
    </xf>
    <xf numFmtId="0" fontId="26" fillId="43" borderId="4" xfId="0" applyFont="1" applyFill="1" applyBorder="1" applyAlignment="1">
      <alignment horizontal="center" vertical="center" wrapText="1"/>
    </xf>
    <xf numFmtId="0" fontId="25" fillId="41" borderId="6" xfId="0" applyFont="1" applyFill="1" applyBorder="1" applyAlignment="1">
      <alignment horizontal="center" vertical="center" wrapText="1"/>
    </xf>
    <xf numFmtId="0" fontId="26" fillId="42" borderId="10" xfId="0" applyFont="1" applyFill="1" applyBorder="1" applyAlignment="1">
      <alignment horizontal="center" vertical="center" wrapText="1"/>
    </xf>
    <xf numFmtId="0" fontId="26" fillId="42" borderId="13" xfId="0" applyFont="1" applyFill="1" applyBorder="1" applyAlignment="1">
      <alignment horizontal="center" vertical="center" wrapText="1"/>
    </xf>
    <xf numFmtId="0" fontId="12" fillId="46" borderId="5" xfId="0" applyFont="1" applyFill="1" applyBorder="1" applyAlignment="1">
      <alignment horizontal="center" vertical="center" wrapText="1"/>
    </xf>
    <xf numFmtId="0" fontId="26" fillId="45"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1" borderId="13" xfId="0"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5" borderId="7"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30" borderId="3" xfId="0" applyFont="1" applyFill="1" applyBorder="1" applyAlignment="1">
      <alignment horizontal="center" vertical="center" wrapText="1"/>
    </xf>
    <xf numFmtId="0" fontId="12" fillId="28" borderId="3" xfId="0" applyFont="1" applyFill="1" applyBorder="1" applyAlignment="1">
      <alignment horizontal="center" vertical="center" wrapText="1"/>
    </xf>
    <xf numFmtId="0" fontId="12" fillId="30" borderId="4" xfId="0" applyFont="1" applyFill="1" applyBorder="1" applyAlignment="1">
      <alignment horizontal="center" vertical="center" wrapText="1"/>
    </xf>
    <xf numFmtId="0" fontId="12" fillId="28" borderId="4" xfId="0" applyFont="1" applyFill="1" applyBorder="1" applyAlignment="1">
      <alignment horizontal="center" vertical="center" wrapText="1"/>
    </xf>
    <xf numFmtId="0" fontId="12" fillId="28" borderId="6" xfId="0" applyFont="1" applyFill="1" applyBorder="1" applyAlignment="1">
      <alignment horizontal="center" vertical="center" wrapText="1"/>
    </xf>
    <xf numFmtId="0" fontId="12" fillId="35" borderId="10" xfId="0" applyFont="1" applyFill="1" applyBorder="1" applyAlignment="1">
      <alignment horizontal="center" vertical="center" wrapText="1"/>
    </xf>
    <xf numFmtId="0" fontId="12" fillId="34" borderId="6"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2" fillId="34" borderId="4" xfId="0" applyFont="1" applyFill="1" applyBorder="1" applyAlignment="1">
      <alignment horizontal="center" vertical="center" wrapText="1"/>
    </xf>
    <xf numFmtId="0" fontId="12" fillId="34" borderId="3" xfId="0" applyFont="1" applyFill="1" applyBorder="1" applyAlignment="1">
      <alignment horizontal="center" vertical="center" wrapText="1"/>
    </xf>
    <xf numFmtId="0" fontId="12" fillId="38" borderId="7" xfId="0" applyFont="1" applyFill="1" applyBorder="1" applyAlignment="1">
      <alignment horizontal="center" vertical="center" wrapText="1" readingOrder="1"/>
    </xf>
    <xf numFmtId="0" fontId="12" fillId="39" borderId="7" xfId="0" applyFont="1" applyFill="1" applyBorder="1" applyAlignment="1">
      <alignment horizontal="center" vertical="center" wrapText="1"/>
    </xf>
    <xf numFmtId="0" fontId="12" fillId="38" borderId="13" xfId="0" applyFont="1" applyFill="1" applyBorder="1" applyAlignment="1">
      <alignment horizontal="center" vertical="center" wrapText="1" readingOrder="1"/>
    </xf>
    <xf numFmtId="0" fontId="12" fillId="39" borderId="13"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42" borderId="10" xfId="0" applyFont="1" applyFill="1" applyBorder="1" applyAlignment="1">
      <alignment horizontal="center" vertical="center" wrapText="1" readingOrder="2"/>
    </xf>
    <xf numFmtId="0" fontId="12" fillId="43" borderId="7" xfId="0" applyFont="1" applyFill="1" applyBorder="1" applyAlignment="1">
      <alignment horizontal="center" vertical="center" wrapText="1"/>
    </xf>
    <xf numFmtId="0" fontId="12" fillId="42" borderId="13" xfId="0" applyFont="1" applyFill="1" applyBorder="1" applyAlignment="1">
      <alignment horizontal="center" vertical="center" wrapText="1" readingOrder="2"/>
    </xf>
    <xf numFmtId="0" fontId="12" fillId="43" borderId="13" xfId="0" applyFont="1" applyFill="1" applyBorder="1" applyAlignment="1">
      <alignment horizontal="center" vertical="center" wrapText="1"/>
    </xf>
    <xf numFmtId="0" fontId="12" fillId="43" borderId="10" xfId="0" applyFont="1" applyFill="1" applyBorder="1" applyAlignment="1">
      <alignment horizontal="center" vertical="center" wrapText="1"/>
    </xf>
    <xf numFmtId="0" fontId="12" fillId="46" borderId="5" xfId="0" applyFont="1" applyFill="1" applyBorder="1" applyAlignment="1">
      <alignment horizontal="center" vertical="center" wrapText="1" readingOrder="2"/>
    </xf>
    <xf numFmtId="0" fontId="12" fillId="45" borderId="5"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12" fillId="22" borderId="10" xfId="0" applyFont="1" applyFill="1" applyBorder="1" applyAlignment="1">
      <alignment horizontal="center" vertical="center" wrapText="1"/>
    </xf>
    <xf numFmtId="0" fontId="12" fillId="22" borderId="13"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6" xfId="0" applyFont="1" applyFill="1" applyBorder="1" applyAlignment="1">
      <alignment horizontal="center" vertical="center" wrapText="1"/>
    </xf>
    <xf numFmtId="0" fontId="12" fillId="29" borderId="6" xfId="0" applyFont="1" applyFill="1" applyBorder="1" applyAlignment="1">
      <alignment horizontal="center" vertical="center" wrapText="1"/>
    </xf>
    <xf numFmtId="0" fontId="12" fillId="33" borderId="3"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25" fillId="41" borderId="15" xfId="0" applyFont="1" applyFill="1" applyBorder="1" applyAlignment="1">
      <alignment horizontal="center" vertical="center" wrapText="1"/>
    </xf>
    <xf numFmtId="0" fontId="25" fillId="41" borderId="14" xfId="0" applyFont="1" applyFill="1" applyBorder="1" applyAlignment="1">
      <alignment horizontal="center" vertical="center" wrapText="1"/>
    </xf>
    <xf numFmtId="0" fontId="25" fillId="41"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23" borderId="6" xfId="0" applyFont="1" applyFill="1" applyBorder="1" applyAlignment="1">
      <alignment horizontal="center" vertical="center"/>
    </xf>
    <xf numFmtId="0" fontId="12" fillId="23" borderId="4" xfId="0" applyFont="1" applyFill="1" applyBorder="1" applyAlignment="1">
      <alignment horizontal="center" vertical="center"/>
    </xf>
    <xf numFmtId="0" fontId="12" fillId="23" borderId="3" xfId="0" applyFont="1" applyFill="1" applyBorder="1" applyAlignment="1">
      <alignment horizontal="center" vertical="center"/>
    </xf>
    <xf numFmtId="0" fontId="12" fillId="26" borderId="3" xfId="0" applyFont="1" applyFill="1" applyBorder="1" applyAlignment="1">
      <alignment horizontal="center" vertical="center"/>
    </xf>
    <xf numFmtId="0" fontId="12" fillId="26" borderId="4" xfId="0" applyFont="1" applyFill="1" applyBorder="1" applyAlignment="1">
      <alignment horizontal="center" vertical="center"/>
    </xf>
    <xf numFmtId="0" fontId="12" fillId="31" borderId="10" xfId="0" applyFont="1" applyFill="1" applyBorder="1" applyAlignment="1">
      <alignment horizontal="center" vertical="center" wrapText="1"/>
    </xf>
    <xf numFmtId="0" fontId="12" fillId="31" borderId="13" xfId="0" applyFont="1" applyFill="1" applyBorder="1" applyAlignment="1">
      <alignment horizontal="center" vertical="center" wrapText="1"/>
    </xf>
    <xf numFmtId="0" fontId="12" fillId="31" borderId="6" xfId="0" applyFont="1" applyFill="1" applyBorder="1" applyAlignment="1">
      <alignment horizontal="center" vertical="center" wrapText="1"/>
    </xf>
    <xf numFmtId="0" fontId="12" fillId="31" borderId="4" xfId="0" applyFont="1" applyFill="1" applyBorder="1" applyAlignment="1">
      <alignment horizontal="center" vertical="center" wrapText="1"/>
    </xf>
    <xf numFmtId="0" fontId="12" fillId="31" borderId="3"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40" borderId="3" xfId="0" applyFont="1" applyFill="1" applyBorder="1" applyAlignment="1">
      <alignment horizontal="center" vertical="center" wrapText="1"/>
    </xf>
    <xf numFmtId="0" fontId="12" fillId="40" borderId="4" xfId="0" applyFont="1" applyFill="1" applyBorder="1" applyAlignment="1">
      <alignment horizontal="center" vertical="center" wrapText="1"/>
    </xf>
    <xf numFmtId="0" fontId="12" fillId="40" borderId="6" xfId="0" applyFont="1" applyFill="1" applyBorder="1" applyAlignment="1">
      <alignment horizontal="center" vertical="center" wrapText="1"/>
    </xf>
    <xf numFmtId="0" fontId="12" fillId="4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B6B9"/>
      <color rgb="FF61C0BF"/>
      <color rgb="FFBBDED6"/>
      <color rgb="FFFAE3D9"/>
      <color rgb="FFFFF6E3"/>
      <color rgb="FFCADABF"/>
      <color rgb="FFFFCCEA"/>
      <color rgb="FFBFECFF"/>
      <color rgb="FFCDC1FF"/>
      <color rgb="FFB5C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5" name="Table5" displayName="Table5" ref="A11:A13" totalsRowShown="0">
  <autoFilter ref="A11:A13"/>
  <tableColumns count="1">
    <tableColumn id="1" name="سامانه باروری سالم"/>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4:A17" totalsRowShown="0">
  <autoFilter ref="A14:A17"/>
  <tableColumns count="1">
    <tableColumn id="1" name="اعتبار ماده 72"/>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9:A21" totalsRowShown="0">
  <autoFilter ref="A19:A21"/>
  <tableColumns count="1">
    <tableColumn id="1" name="نفس"/>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rightToLeft="1" tabSelected="1" topLeftCell="C100" zoomScale="55" zoomScaleNormal="55" workbookViewId="0">
      <selection activeCell="D103" sqref="D103:D104"/>
    </sheetView>
  </sheetViews>
  <sheetFormatPr defaultRowHeight="25.5"/>
  <cols>
    <col min="1" max="1" width="18.375" style="2" customWidth="1"/>
    <col min="2" max="2" width="18.375" style="1" customWidth="1"/>
    <col min="3" max="3" width="19.5" customWidth="1"/>
    <col min="4" max="4" width="37.875" customWidth="1"/>
    <col min="5" max="5" width="42.875" style="42" customWidth="1"/>
    <col min="6" max="6" width="16.875" customWidth="1"/>
    <col min="7" max="7" width="13.625" customWidth="1"/>
    <col min="8" max="8" width="11.125" customWidth="1"/>
    <col min="9" max="9" width="14.125" style="103" customWidth="1"/>
    <col min="10" max="10" width="58.875" style="126" customWidth="1"/>
    <col min="11" max="11" width="26.5" style="119" customWidth="1"/>
    <col min="12" max="12" width="17" style="117" customWidth="1"/>
    <col min="13" max="13" width="12.25" style="116" customWidth="1"/>
    <col min="14" max="14" width="21.125" style="116" customWidth="1"/>
    <col min="15" max="15" width="19.875" style="117" customWidth="1"/>
    <col min="16" max="16" width="15.75" style="42" customWidth="1"/>
    <col min="17" max="30" width="9.625" customWidth="1"/>
  </cols>
  <sheetData>
    <row r="1" spans="1:16" ht="44.25">
      <c r="A1" s="276" t="s">
        <v>11</v>
      </c>
      <c r="B1" s="276"/>
      <c r="C1" s="276"/>
      <c r="D1" s="276"/>
      <c r="E1" s="276"/>
      <c r="F1" s="276"/>
      <c r="G1" s="276"/>
      <c r="H1" s="276"/>
      <c r="I1" s="276"/>
      <c r="J1" s="276"/>
      <c r="K1" s="276"/>
      <c r="L1" s="276"/>
      <c r="M1" s="276"/>
      <c r="N1" s="276"/>
      <c r="O1" s="276"/>
    </row>
    <row r="2" spans="1:16" ht="72">
      <c r="A2" s="7" t="s">
        <v>0</v>
      </c>
      <c r="B2" s="8" t="s">
        <v>8</v>
      </c>
      <c r="C2" s="8" t="s">
        <v>1</v>
      </c>
      <c r="D2" s="8" t="s">
        <v>2</v>
      </c>
      <c r="E2" s="8" t="s">
        <v>90</v>
      </c>
      <c r="F2" s="8" t="s">
        <v>91</v>
      </c>
      <c r="G2" s="8" t="s">
        <v>92</v>
      </c>
      <c r="H2" s="8" t="s">
        <v>3</v>
      </c>
      <c r="I2" s="104" t="s">
        <v>298</v>
      </c>
      <c r="J2" s="108" t="s">
        <v>4</v>
      </c>
      <c r="K2" s="8" t="s">
        <v>136</v>
      </c>
      <c r="L2" s="8" t="s">
        <v>50</v>
      </c>
      <c r="M2" s="8" t="s">
        <v>72</v>
      </c>
      <c r="N2" s="8" t="s">
        <v>80</v>
      </c>
      <c r="O2" s="8" t="s">
        <v>329</v>
      </c>
      <c r="P2" s="107"/>
    </row>
    <row r="3" spans="1:16" ht="102.75" customHeight="1" thickBot="1">
      <c r="A3" s="279" t="s">
        <v>38</v>
      </c>
      <c r="B3" s="9">
        <v>1</v>
      </c>
      <c r="C3" s="251" t="s">
        <v>6</v>
      </c>
      <c r="D3" s="382" t="s">
        <v>5</v>
      </c>
      <c r="E3" s="383" t="s">
        <v>5</v>
      </c>
      <c r="F3" s="15"/>
      <c r="G3" s="56"/>
      <c r="H3" s="11"/>
      <c r="I3" s="102">
        <f>G3</f>
        <v>0</v>
      </c>
      <c r="J3" s="463" t="s">
        <v>345</v>
      </c>
      <c r="K3" s="464" t="s">
        <v>49</v>
      </c>
      <c r="L3" s="382" t="s">
        <v>6</v>
      </c>
      <c r="M3" s="130">
        <v>2</v>
      </c>
      <c r="N3" s="12">
        <f>IF(I3=12, 2, IF(AND(I3&gt;=10, I3&lt;=11), 1.5, IF(AND(I3&gt;=5, I3&lt;=9), 0.5, IF(I3&lt;5, -1, ""))))</f>
        <v>-1</v>
      </c>
      <c r="O3" s="128"/>
      <c r="P3" s="13" t="s">
        <v>71</v>
      </c>
    </row>
    <row r="4" spans="1:16" ht="116.25" customHeight="1" thickTop="1">
      <c r="A4" s="279"/>
      <c r="B4" s="246">
        <v>2</v>
      </c>
      <c r="C4" s="252"/>
      <c r="D4" s="384" t="s">
        <v>307</v>
      </c>
      <c r="E4" s="385" t="s">
        <v>94</v>
      </c>
      <c r="F4" s="53"/>
      <c r="G4" s="43"/>
      <c r="H4" s="240" t="s">
        <v>48</v>
      </c>
      <c r="I4" s="169" t="e">
        <f>G4/G5*100</f>
        <v>#DIV/0!</v>
      </c>
      <c r="J4" s="465" t="s">
        <v>137</v>
      </c>
      <c r="K4" s="466" t="s">
        <v>49</v>
      </c>
      <c r="L4" s="393" t="s">
        <v>6</v>
      </c>
      <c r="M4" s="240">
        <v>1.5</v>
      </c>
      <c r="N4" s="190" t="e">
        <f>IF(I4&gt;80, 1.5, IF(I4&gt;=60, 1, IF(I4&gt;=40, 0.5, 0)))</f>
        <v>#DIV/0!</v>
      </c>
      <c r="O4" s="193"/>
      <c r="P4" s="106"/>
    </row>
    <row r="5" spans="1:16" ht="91.5" customHeight="1" thickBot="1">
      <c r="A5" s="279"/>
      <c r="B5" s="246"/>
      <c r="C5" s="252"/>
      <c r="D5" s="386"/>
      <c r="E5" s="387" t="s">
        <v>93</v>
      </c>
      <c r="F5" s="100"/>
      <c r="G5" s="44"/>
      <c r="H5" s="241"/>
      <c r="I5" s="170"/>
      <c r="J5" s="467"/>
      <c r="K5" s="468"/>
      <c r="L5" s="394"/>
      <c r="M5" s="241"/>
      <c r="N5" s="191"/>
      <c r="O5" s="194"/>
      <c r="P5" s="106"/>
    </row>
    <row r="6" spans="1:16" ht="68.25" customHeight="1" thickTop="1">
      <c r="A6" s="279"/>
      <c r="B6" s="246">
        <v>3</v>
      </c>
      <c r="C6" s="252"/>
      <c r="D6" s="388" t="s">
        <v>34</v>
      </c>
      <c r="E6" s="389" t="s">
        <v>135</v>
      </c>
      <c r="F6" s="133"/>
      <c r="G6" s="131"/>
      <c r="H6" s="242"/>
      <c r="I6" s="244">
        <f>G6</f>
        <v>0</v>
      </c>
      <c r="J6" s="465" t="s">
        <v>346</v>
      </c>
      <c r="K6" s="466" t="s">
        <v>51</v>
      </c>
      <c r="L6" s="393" t="s">
        <v>6</v>
      </c>
      <c r="M6" s="240">
        <v>3</v>
      </c>
      <c r="N6" s="190">
        <f>IF(I6=7, 3, IF(I6&lt;7, -1, ""))</f>
        <v>-1</v>
      </c>
      <c r="O6" s="193"/>
      <c r="P6" s="192" t="s">
        <v>71</v>
      </c>
    </row>
    <row r="7" spans="1:16" ht="83.25" customHeight="1" thickBot="1">
      <c r="A7" s="279"/>
      <c r="B7" s="246"/>
      <c r="C7" s="252"/>
      <c r="D7" s="390"/>
      <c r="E7" s="391"/>
      <c r="F7" s="134"/>
      <c r="G7" s="132"/>
      <c r="H7" s="243"/>
      <c r="I7" s="245"/>
      <c r="J7" s="467"/>
      <c r="K7" s="468"/>
      <c r="L7" s="394"/>
      <c r="M7" s="241"/>
      <c r="N7" s="191"/>
      <c r="O7" s="194"/>
      <c r="P7" s="189"/>
    </row>
    <row r="8" spans="1:16" ht="25.5" customHeight="1" thickTop="1">
      <c r="A8" s="279"/>
      <c r="B8" s="246">
        <v>4</v>
      </c>
      <c r="C8" s="252"/>
      <c r="D8" s="388" t="s">
        <v>233</v>
      </c>
      <c r="E8" s="389" t="s">
        <v>107</v>
      </c>
      <c r="F8" s="247"/>
      <c r="G8" s="249"/>
      <c r="H8" s="242"/>
      <c r="I8" s="169">
        <f>G8-F8</f>
        <v>0</v>
      </c>
      <c r="J8" s="465" t="s">
        <v>138</v>
      </c>
      <c r="K8" s="466" t="s">
        <v>49</v>
      </c>
      <c r="L8" s="393" t="s">
        <v>6</v>
      </c>
      <c r="M8" s="240">
        <v>2</v>
      </c>
      <c r="N8" s="190">
        <f>IF(I8&gt;0, 2, IF(I8=0, 1, 0))</f>
        <v>1</v>
      </c>
      <c r="O8" s="193"/>
      <c r="P8" s="106"/>
    </row>
    <row r="9" spans="1:16" ht="78" customHeight="1" thickBot="1">
      <c r="A9" s="279"/>
      <c r="B9" s="246"/>
      <c r="C9" s="252"/>
      <c r="D9" s="390"/>
      <c r="E9" s="391"/>
      <c r="F9" s="248"/>
      <c r="G9" s="250"/>
      <c r="H9" s="243"/>
      <c r="I9" s="170"/>
      <c r="J9" s="467"/>
      <c r="K9" s="468"/>
      <c r="L9" s="394"/>
      <c r="M9" s="241"/>
      <c r="N9" s="191"/>
      <c r="O9" s="194"/>
    </row>
    <row r="10" spans="1:16" ht="42.6" customHeight="1" thickTop="1">
      <c r="A10" s="279"/>
      <c r="B10" s="246">
        <v>5</v>
      </c>
      <c r="C10" s="252"/>
      <c r="D10" s="384" t="s">
        <v>108</v>
      </c>
      <c r="E10" s="385" t="s">
        <v>7</v>
      </c>
      <c r="F10" s="50"/>
      <c r="G10" s="49"/>
      <c r="H10" s="167" t="s">
        <v>48</v>
      </c>
      <c r="I10" s="169" t="e">
        <f>((G10/G11)*100 - (F10/F11)*100) / (F10/F11)</f>
        <v>#DIV/0!</v>
      </c>
      <c r="J10" s="465" t="s">
        <v>139</v>
      </c>
      <c r="K10" s="466" t="s">
        <v>52</v>
      </c>
      <c r="L10" s="393" t="s">
        <v>6</v>
      </c>
      <c r="M10" s="167">
        <v>1.5</v>
      </c>
      <c r="N10" s="143" t="e">
        <f>IF(I10&lt;=-20, 1.5, IF(I10&lt;-15, 1, IF(I10&lt;-10, 0.5, IF(I10&lt;0, 0.25, 0))))</f>
        <v>#DIV/0!</v>
      </c>
      <c r="O10" s="193"/>
      <c r="P10" s="109"/>
    </row>
    <row r="11" spans="1:16" ht="56.1" customHeight="1" thickBot="1">
      <c r="A11" s="279"/>
      <c r="B11" s="246"/>
      <c r="C11" s="252"/>
      <c r="D11" s="386"/>
      <c r="E11" s="387" t="s">
        <v>111</v>
      </c>
      <c r="F11" s="51"/>
      <c r="G11" s="44"/>
      <c r="H11" s="168"/>
      <c r="I11" s="170"/>
      <c r="J11" s="467"/>
      <c r="K11" s="468"/>
      <c r="L11" s="394"/>
      <c r="M11" s="168"/>
      <c r="N11" s="144"/>
      <c r="O11" s="194"/>
      <c r="P11" s="109"/>
    </row>
    <row r="12" spans="1:16" ht="45.6" customHeight="1" thickTop="1">
      <c r="A12" s="279"/>
      <c r="B12" s="246">
        <v>6</v>
      </c>
      <c r="C12" s="252"/>
      <c r="D12" s="384" t="s">
        <v>109</v>
      </c>
      <c r="E12" s="389" t="s">
        <v>110</v>
      </c>
      <c r="F12" s="254"/>
      <c r="G12" s="256"/>
      <c r="H12" s="167" t="s">
        <v>48</v>
      </c>
      <c r="I12" s="169" t="e">
        <f>(G12-F12)/F12*100</f>
        <v>#DIV/0!</v>
      </c>
      <c r="J12" s="465" t="s">
        <v>140</v>
      </c>
      <c r="K12" s="466" t="s">
        <v>53</v>
      </c>
      <c r="L12" s="393" t="s">
        <v>6</v>
      </c>
      <c r="M12" s="167">
        <v>0.5</v>
      </c>
      <c r="N12" s="143" t="e">
        <f>IF(I12&lt;0, 0.5, 0)</f>
        <v>#DIV/0!</v>
      </c>
      <c r="O12" s="193"/>
    </row>
    <row r="13" spans="1:16" ht="37.5" customHeight="1" thickBot="1">
      <c r="A13" s="279"/>
      <c r="B13" s="246"/>
      <c r="C13" s="252"/>
      <c r="D13" s="386"/>
      <c r="E13" s="391"/>
      <c r="F13" s="255"/>
      <c r="G13" s="257"/>
      <c r="H13" s="168"/>
      <c r="I13" s="170"/>
      <c r="J13" s="467"/>
      <c r="K13" s="468"/>
      <c r="L13" s="394"/>
      <c r="M13" s="168"/>
      <c r="N13" s="144"/>
      <c r="O13" s="194"/>
    </row>
    <row r="14" spans="1:16" ht="69" customHeight="1" thickTop="1">
      <c r="A14" s="279"/>
      <c r="B14" s="246">
        <v>7</v>
      </c>
      <c r="C14" s="252"/>
      <c r="D14" s="384" t="s">
        <v>112</v>
      </c>
      <c r="E14" s="385" t="s">
        <v>116</v>
      </c>
      <c r="F14" s="10"/>
      <c r="G14" s="49"/>
      <c r="H14" s="167" t="s">
        <v>48</v>
      </c>
      <c r="I14" s="169" t="e">
        <f>G14/G15*100</f>
        <v>#DIV/0!</v>
      </c>
      <c r="J14" s="465" t="s">
        <v>347</v>
      </c>
      <c r="K14" s="466" t="s">
        <v>51</v>
      </c>
      <c r="L14" s="393" t="s">
        <v>6</v>
      </c>
      <c r="M14" s="167">
        <v>1</v>
      </c>
      <c r="N14" s="143" t="e">
        <f>IF(I14&lt;20, 1, IF(I14&lt;50, 0.75, IF(I14&lt;60, 0.25, IF(I14&lt;=70, 0, -1))))</f>
        <v>#DIV/0!</v>
      </c>
      <c r="O14" s="201"/>
      <c r="P14" s="192" t="s">
        <v>71</v>
      </c>
    </row>
    <row r="15" spans="1:16" ht="67.5" customHeight="1" thickBot="1">
      <c r="A15" s="279"/>
      <c r="B15" s="246"/>
      <c r="C15" s="252"/>
      <c r="D15" s="386"/>
      <c r="E15" s="387" t="s">
        <v>114</v>
      </c>
      <c r="F15" s="110"/>
      <c r="G15" s="44"/>
      <c r="H15" s="168"/>
      <c r="I15" s="170"/>
      <c r="J15" s="467"/>
      <c r="K15" s="468"/>
      <c r="L15" s="394"/>
      <c r="M15" s="168"/>
      <c r="N15" s="144"/>
      <c r="O15" s="202"/>
      <c r="P15" s="189"/>
    </row>
    <row r="16" spans="1:16" ht="94.5" customHeight="1" thickTop="1">
      <c r="A16" s="279"/>
      <c r="B16" s="258">
        <v>8</v>
      </c>
      <c r="C16" s="252"/>
      <c r="D16" s="384" t="s">
        <v>113</v>
      </c>
      <c r="E16" s="385" t="s">
        <v>115</v>
      </c>
      <c r="F16" s="10"/>
      <c r="G16" s="49"/>
      <c r="H16" s="167" t="s">
        <v>48</v>
      </c>
      <c r="I16" s="238" t="e">
        <f>G16/G17*100</f>
        <v>#DIV/0!</v>
      </c>
      <c r="J16" s="465" t="s">
        <v>141</v>
      </c>
      <c r="K16" s="466" t="s">
        <v>51</v>
      </c>
      <c r="L16" s="393" t="s">
        <v>6</v>
      </c>
      <c r="M16" s="167">
        <v>1</v>
      </c>
      <c r="N16" s="143" t="e">
        <f>IF(I16&gt;50, 0, IF(I16&gt;=20, 0.5, 1))</f>
        <v>#DIV/0!</v>
      </c>
      <c r="O16" s="201"/>
      <c r="P16" s="188" t="s">
        <v>73</v>
      </c>
    </row>
    <row r="17" spans="1:16" ht="68.25" customHeight="1" thickBot="1">
      <c r="A17" s="279"/>
      <c r="B17" s="259"/>
      <c r="C17" s="252"/>
      <c r="D17" s="386"/>
      <c r="E17" s="387" t="s">
        <v>114</v>
      </c>
      <c r="F17" s="110"/>
      <c r="G17" s="44"/>
      <c r="H17" s="168"/>
      <c r="I17" s="239"/>
      <c r="J17" s="467"/>
      <c r="K17" s="468"/>
      <c r="L17" s="394"/>
      <c r="M17" s="168"/>
      <c r="N17" s="144"/>
      <c r="O17" s="202"/>
      <c r="P17" s="189"/>
    </row>
    <row r="18" spans="1:16" ht="98.25" customHeight="1" thickTop="1">
      <c r="A18" s="279"/>
      <c r="B18" s="246">
        <v>9</v>
      </c>
      <c r="C18" s="252"/>
      <c r="D18" s="388" t="s">
        <v>117</v>
      </c>
      <c r="E18" s="385" t="s">
        <v>308</v>
      </c>
      <c r="F18" s="50"/>
      <c r="G18" s="10"/>
      <c r="H18" s="167" t="s">
        <v>48</v>
      </c>
      <c r="I18" s="169" t="e">
        <f>F18/F19*100</f>
        <v>#DIV/0!</v>
      </c>
      <c r="J18" s="465" t="s">
        <v>348</v>
      </c>
      <c r="K18" s="466" t="s">
        <v>51</v>
      </c>
      <c r="L18" s="393" t="s">
        <v>6</v>
      </c>
      <c r="M18" s="167">
        <v>3</v>
      </c>
      <c r="N18" s="143" t="e">
        <f>IF(I18&gt;70, 3, IF(I18&gt;=60, 2, IF(I18&gt;=50, 1, IF(I18&gt;=40, 0.5, IF(I18&gt;=30, 0, -1)))))</f>
        <v>#DIV/0!</v>
      </c>
      <c r="O18" s="201"/>
      <c r="P18" s="192" t="s">
        <v>71</v>
      </c>
    </row>
    <row r="19" spans="1:16" ht="108.6" customHeight="1" thickBot="1">
      <c r="A19" s="279"/>
      <c r="B19" s="246"/>
      <c r="C19" s="252"/>
      <c r="D19" s="390"/>
      <c r="E19" s="387" t="s">
        <v>182</v>
      </c>
      <c r="F19" s="51"/>
      <c r="G19" s="110"/>
      <c r="H19" s="168"/>
      <c r="I19" s="170"/>
      <c r="J19" s="467"/>
      <c r="K19" s="468"/>
      <c r="L19" s="394"/>
      <c r="M19" s="168"/>
      <c r="N19" s="144"/>
      <c r="O19" s="202"/>
      <c r="P19" s="189"/>
    </row>
    <row r="20" spans="1:16" s="41" customFormat="1" ht="163.5" customHeight="1" thickTop="1" thickBot="1">
      <c r="A20" s="279"/>
      <c r="B20" s="9">
        <v>10</v>
      </c>
      <c r="C20" s="252"/>
      <c r="D20" s="392" t="s">
        <v>305</v>
      </c>
      <c r="E20" s="385" t="s">
        <v>340</v>
      </c>
      <c r="F20" s="48"/>
      <c r="G20" s="111" t="s">
        <v>119</v>
      </c>
      <c r="H20" s="52"/>
      <c r="I20" s="101" t="str">
        <f>G20</f>
        <v>پرداخت کارانه پلکانی هر دو سال 1401 و 1402 به هر دو ارائه دهنده مستقیم و غیر مستقیم</v>
      </c>
      <c r="J20" s="463" t="s">
        <v>349</v>
      </c>
      <c r="K20" s="469" t="s">
        <v>53</v>
      </c>
      <c r="L20" s="392" t="s">
        <v>6</v>
      </c>
      <c r="M20" s="533">
        <v>3</v>
      </c>
      <c r="N20" s="12">
        <f>IF(G20="پرداخت کارانه پلکانی هر دو سال 1401 و 1402 به هر دو ارائه دهنده مستقیم و غیر مستقیم", 3, IF(G20="پرداخت کارانه پلکانی هر دو سال 1401 و 1402 صرفاً به یکی از ارائه دهندگان مستقیم یا غیر مستقیم", 1, IF(G20=" پرداخت کارانه پلکانی صرفا یکی از سال های 1401 یا 1402 یا عدم پرداخت هر دو", -1, "")))</f>
        <v>3</v>
      </c>
      <c r="O20" s="129"/>
      <c r="P20" s="14" t="s">
        <v>71</v>
      </c>
    </row>
    <row r="21" spans="1:16" ht="60" customHeight="1" thickTop="1">
      <c r="A21" s="279"/>
      <c r="B21" s="246">
        <v>11</v>
      </c>
      <c r="C21" s="252"/>
      <c r="D21" s="393" t="s">
        <v>143</v>
      </c>
      <c r="E21" s="385" t="s">
        <v>121</v>
      </c>
      <c r="F21" s="92"/>
      <c r="G21" s="99"/>
      <c r="H21" s="167" t="s">
        <v>48</v>
      </c>
      <c r="I21" s="169" t="e">
        <f>((G21/G22)*100 - (F21/F22)*100) / (F21/F22)</f>
        <v>#DIV/0!</v>
      </c>
      <c r="J21" s="465" t="s">
        <v>142</v>
      </c>
      <c r="K21" s="470" t="s">
        <v>59</v>
      </c>
      <c r="L21" s="393" t="s">
        <v>6</v>
      </c>
      <c r="M21" s="167">
        <v>1</v>
      </c>
      <c r="N21" s="143" t="e">
        <f>IF(I21&gt;0, 0, IF(I21=0, 0.5, 1))</f>
        <v>#DIV/0!</v>
      </c>
      <c r="O21" s="193"/>
    </row>
    <row r="22" spans="1:16" ht="59.25" customHeight="1" thickBot="1">
      <c r="A22" s="279"/>
      <c r="B22" s="246"/>
      <c r="C22" s="252"/>
      <c r="D22" s="394"/>
      <c r="E22" s="387" t="s">
        <v>183</v>
      </c>
      <c r="F22" s="92"/>
      <c r="G22" s="43"/>
      <c r="H22" s="168"/>
      <c r="I22" s="170"/>
      <c r="J22" s="467"/>
      <c r="K22" s="471"/>
      <c r="L22" s="394"/>
      <c r="M22" s="168"/>
      <c r="N22" s="144"/>
      <c r="O22" s="194"/>
    </row>
    <row r="23" spans="1:16" ht="106.35" customHeight="1" thickTop="1">
      <c r="A23" s="279"/>
      <c r="B23" s="258">
        <v>12</v>
      </c>
      <c r="C23" s="252"/>
      <c r="D23" s="393" t="s">
        <v>330</v>
      </c>
      <c r="E23" s="385" t="s">
        <v>312</v>
      </c>
      <c r="F23" s="53"/>
      <c r="G23" s="49"/>
      <c r="H23" s="167" t="s">
        <v>48</v>
      </c>
      <c r="I23" s="169" t="e">
        <f>G23/G24*100</f>
        <v>#DIV/0!</v>
      </c>
      <c r="J23" s="465" t="s">
        <v>350</v>
      </c>
      <c r="K23" s="466" t="s">
        <v>53</v>
      </c>
      <c r="L23" s="393" t="s">
        <v>6</v>
      </c>
      <c r="M23" s="167">
        <v>2</v>
      </c>
      <c r="N23" s="143" t="e">
        <f>IF(I23&gt;80, 2, IF(I23&gt;=60, 1.5, IF(I23&gt;=40, 1, IF(I23&gt;0, 0.5, 0))))</f>
        <v>#DIV/0!</v>
      </c>
      <c r="O23" s="193"/>
    </row>
    <row r="24" spans="1:16" ht="78.75" customHeight="1" thickBot="1">
      <c r="A24" s="279"/>
      <c r="B24" s="259"/>
      <c r="C24" s="253"/>
      <c r="D24" s="394"/>
      <c r="E24" s="387" t="s">
        <v>122</v>
      </c>
      <c r="F24" s="15"/>
      <c r="G24" s="44"/>
      <c r="H24" s="168"/>
      <c r="I24" s="170"/>
      <c r="J24" s="467"/>
      <c r="K24" s="468"/>
      <c r="L24" s="394"/>
      <c r="M24" s="168"/>
      <c r="N24" s="144"/>
      <c r="O24" s="194"/>
    </row>
    <row r="25" spans="1:16" ht="130.5" customHeight="1" thickTop="1">
      <c r="A25" s="279"/>
      <c r="B25" s="246">
        <v>13</v>
      </c>
      <c r="C25" s="280" t="s">
        <v>10</v>
      </c>
      <c r="D25" s="395" t="s">
        <v>306</v>
      </c>
      <c r="E25" s="396" t="s">
        <v>316</v>
      </c>
      <c r="F25" s="54"/>
      <c r="G25" s="47"/>
      <c r="H25" s="163"/>
      <c r="I25" s="171" t="e">
        <f>G25/G26</f>
        <v>#DIV/0!</v>
      </c>
      <c r="J25" s="472" t="s">
        <v>157</v>
      </c>
      <c r="K25" s="473" t="s">
        <v>55</v>
      </c>
      <c r="L25" s="395" t="s">
        <v>55</v>
      </c>
      <c r="M25" s="395">
        <v>1</v>
      </c>
      <c r="N25" s="148" t="e">
        <f>IF(I25&gt;=12, 1, IF(I25&gt;=6, 0.5, 0))</f>
        <v>#DIV/0!</v>
      </c>
      <c r="O25" s="195"/>
    </row>
    <row r="26" spans="1:16" ht="105" customHeight="1" thickBot="1">
      <c r="A26" s="279"/>
      <c r="B26" s="246"/>
      <c r="C26" s="281"/>
      <c r="D26" s="397"/>
      <c r="E26" s="398" t="s">
        <v>125</v>
      </c>
      <c r="F26" s="17"/>
      <c r="G26" s="46"/>
      <c r="H26" s="164"/>
      <c r="I26" s="172"/>
      <c r="J26" s="474"/>
      <c r="K26" s="475"/>
      <c r="L26" s="397"/>
      <c r="M26" s="397"/>
      <c r="N26" s="149"/>
      <c r="O26" s="196"/>
    </row>
    <row r="27" spans="1:16" ht="146.25" customHeight="1" thickTop="1" thickBot="1">
      <c r="A27" s="279"/>
      <c r="B27" s="9">
        <v>14</v>
      </c>
      <c r="C27" s="281"/>
      <c r="D27" s="399" t="s">
        <v>123</v>
      </c>
      <c r="E27" s="400" t="s">
        <v>123</v>
      </c>
      <c r="F27" s="19"/>
      <c r="G27" s="55"/>
      <c r="H27" s="20"/>
      <c r="I27" s="105">
        <f>G27</f>
        <v>0</v>
      </c>
      <c r="J27" s="476" t="s">
        <v>158</v>
      </c>
      <c r="K27" s="477" t="s">
        <v>55</v>
      </c>
      <c r="L27" s="517" t="s">
        <v>55</v>
      </c>
      <c r="M27" s="517">
        <v>0.5</v>
      </c>
      <c r="N27" s="18">
        <f>IF(I27&gt;=2, 0.5, 0)</f>
        <v>0</v>
      </c>
      <c r="O27" s="57"/>
    </row>
    <row r="28" spans="1:16" ht="150" customHeight="1" thickTop="1">
      <c r="A28" s="279"/>
      <c r="B28" s="9">
        <v>15</v>
      </c>
      <c r="C28" s="281"/>
      <c r="D28" s="395" t="s">
        <v>126</v>
      </c>
      <c r="E28" s="396" t="s">
        <v>124</v>
      </c>
      <c r="F28" s="16"/>
      <c r="G28" s="45"/>
      <c r="H28" s="163"/>
      <c r="I28" s="165" t="e">
        <f>G28/G29</f>
        <v>#DIV/0!</v>
      </c>
      <c r="J28" s="472" t="s">
        <v>159</v>
      </c>
      <c r="K28" s="473" t="s">
        <v>55</v>
      </c>
      <c r="L28" s="518" t="s">
        <v>55</v>
      </c>
      <c r="M28" s="395">
        <v>1</v>
      </c>
      <c r="N28" s="148" t="e">
        <f>IF(I28&gt;=24, 1, IF(I28&gt;=12, 0.5, 0))</f>
        <v>#DIV/0!</v>
      </c>
      <c r="O28" s="195"/>
    </row>
    <row r="29" spans="1:16" ht="77.099999999999994" customHeight="1" thickBot="1">
      <c r="A29" s="279"/>
      <c r="B29" s="9">
        <v>16</v>
      </c>
      <c r="C29" s="281"/>
      <c r="D29" s="397"/>
      <c r="E29" s="401" t="s">
        <v>184</v>
      </c>
      <c r="F29" s="17"/>
      <c r="G29" s="46"/>
      <c r="H29" s="164"/>
      <c r="I29" s="166"/>
      <c r="J29" s="474"/>
      <c r="K29" s="475"/>
      <c r="L29" s="519"/>
      <c r="M29" s="397"/>
      <c r="N29" s="149"/>
      <c r="O29" s="196"/>
    </row>
    <row r="30" spans="1:16" ht="143.25" customHeight="1" thickTop="1">
      <c r="A30" s="279"/>
      <c r="B30" s="246">
        <v>17</v>
      </c>
      <c r="C30" s="281"/>
      <c r="D30" s="395" t="s">
        <v>134</v>
      </c>
      <c r="E30" s="402" t="s">
        <v>127</v>
      </c>
      <c r="F30" s="16"/>
      <c r="G30" s="45"/>
      <c r="H30" s="235" t="s">
        <v>48</v>
      </c>
      <c r="I30" s="165" t="e">
        <f>G30/G31*100</f>
        <v>#DIV/0!</v>
      </c>
      <c r="J30" s="472" t="s">
        <v>180</v>
      </c>
      <c r="K30" s="473" t="s">
        <v>55</v>
      </c>
      <c r="L30" s="518" t="s">
        <v>55</v>
      </c>
      <c r="M30" s="395">
        <v>1</v>
      </c>
      <c r="N30" s="150" t="e">
        <f>IF(I30&gt;70, 1, IF(I30&gt;=30, 0.5, 0))</f>
        <v>#DIV/0!</v>
      </c>
      <c r="O30" s="195"/>
    </row>
    <row r="31" spans="1:16" ht="90" customHeight="1" thickBot="1">
      <c r="A31" s="279"/>
      <c r="B31" s="246"/>
      <c r="C31" s="281"/>
      <c r="D31" s="397"/>
      <c r="E31" s="403" t="s">
        <v>128</v>
      </c>
      <c r="F31" s="17"/>
      <c r="G31" s="46"/>
      <c r="H31" s="236"/>
      <c r="I31" s="166"/>
      <c r="J31" s="474"/>
      <c r="K31" s="475"/>
      <c r="L31" s="519"/>
      <c r="M31" s="397"/>
      <c r="N31" s="151"/>
      <c r="O31" s="196"/>
    </row>
    <row r="32" spans="1:16" ht="116.45" customHeight="1" thickTop="1" thickBot="1">
      <c r="A32" s="279"/>
      <c r="B32" s="9">
        <v>18</v>
      </c>
      <c r="C32" s="281"/>
      <c r="D32" s="404" t="s">
        <v>129</v>
      </c>
      <c r="E32" s="400" t="s">
        <v>317</v>
      </c>
      <c r="F32" s="19"/>
      <c r="G32" s="55"/>
      <c r="H32" s="20"/>
      <c r="I32" s="105">
        <f>G32</f>
        <v>0</v>
      </c>
      <c r="J32" s="476" t="s">
        <v>160</v>
      </c>
      <c r="K32" s="477" t="s">
        <v>55</v>
      </c>
      <c r="L32" s="517" t="s">
        <v>55</v>
      </c>
      <c r="M32" s="517">
        <v>2</v>
      </c>
      <c r="N32" s="18">
        <f>IF(G32&gt;=15, 2, IF(G32&gt;=10, 1.5, IF(G32&gt;=5, 1, IF(G32&gt;=1, 0.5, 0))))</f>
        <v>0</v>
      </c>
      <c r="O32" s="57"/>
    </row>
    <row r="33" spans="1:16" ht="99" customHeight="1" thickTop="1">
      <c r="A33" s="279"/>
      <c r="B33" s="258">
        <v>19</v>
      </c>
      <c r="C33" s="281"/>
      <c r="D33" s="395" t="s">
        <v>144</v>
      </c>
      <c r="E33" s="405" t="s">
        <v>168</v>
      </c>
      <c r="F33" s="156"/>
      <c r="G33" s="154"/>
      <c r="H33" s="163"/>
      <c r="I33" s="302">
        <f>G33</f>
        <v>0</v>
      </c>
      <c r="J33" s="472" t="s">
        <v>161</v>
      </c>
      <c r="K33" s="473" t="s">
        <v>58</v>
      </c>
      <c r="L33" s="518" t="s">
        <v>58</v>
      </c>
      <c r="M33" s="395">
        <v>1.5</v>
      </c>
      <c r="N33" s="150">
        <f>IF(I33=5, 1.5, IF(I33=4, 1, IF(I33=3, 0.5, 0)))</f>
        <v>0</v>
      </c>
      <c r="O33" s="195"/>
    </row>
    <row r="34" spans="1:16" ht="269.45" customHeight="1" thickBot="1">
      <c r="A34" s="279"/>
      <c r="B34" s="259"/>
      <c r="C34" s="282"/>
      <c r="D34" s="397"/>
      <c r="E34" s="406"/>
      <c r="F34" s="157"/>
      <c r="G34" s="155"/>
      <c r="H34" s="164"/>
      <c r="I34" s="303"/>
      <c r="J34" s="474"/>
      <c r="K34" s="475"/>
      <c r="L34" s="519"/>
      <c r="M34" s="397"/>
      <c r="N34" s="151"/>
      <c r="O34" s="196"/>
    </row>
    <row r="35" spans="1:16" ht="49.35" customHeight="1" thickTop="1">
      <c r="A35" s="279"/>
      <c r="B35" s="246">
        <v>20</v>
      </c>
      <c r="C35" s="277" t="s">
        <v>9</v>
      </c>
      <c r="D35" s="407" t="s">
        <v>12</v>
      </c>
      <c r="E35" s="408" t="s">
        <v>130</v>
      </c>
      <c r="F35" s="88"/>
      <c r="G35" s="58"/>
      <c r="H35" s="237" t="s">
        <v>48</v>
      </c>
      <c r="I35" s="234" t="e">
        <f>((G35/G36)*100 - (F35/F36)*100) / (F35/F36)</f>
        <v>#DIV/0!</v>
      </c>
      <c r="J35" s="413" t="s">
        <v>351</v>
      </c>
      <c r="K35" s="478" t="s">
        <v>57</v>
      </c>
      <c r="L35" s="413" t="s">
        <v>56</v>
      </c>
      <c r="M35" s="237">
        <v>3</v>
      </c>
      <c r="N35" s="152" t="e">
        <f>IF(I35&gt;=5,3,IF(I35&gt;4,2,IF(I35=4,1,IF(I35&gt;0,1,IF(I35=0,0.5,-1)))))</f>
        <v>#DIV/0!</v>
      </c>
      <c r="O35" s="352"/>
      <c r="P35" s="197" t="s">
        <v>71</v>
      </c>
    </row>
    <row r="36" spans="1:16" ht="55.5" customHeight="1" thickBot="1">
      <c r="A36" s="279"/>
      <c r="B36" s="246"/>
      <c r="C36" s="278"/>
      <c r="D36" s="409"/>
      <c r="E36" s="410" t="s">
        <v>150</v>
      </c>
      <c r="F36" s="89"/>
      <c r="G36" s="59"/>
      <c r="H36" s="161"/>
      <c r="I36" s="159"/>
      <c r="J36" s="416"/>
      <c r="K36" s="479"/>
      <c r="L36" s="416"/>
      <c r="M36" s="161"/>
      <c r="N36" s="153"/>
      <c r="O36" s="353"/>
      <c r="P36" s="198"/>
    </row>
    <row r="37" spans="1:16" ht="62.1" customHeight="1" thickTop="1">
      <c r="A37" s="279"/>
      <c r="B37" s="246">
        <v>21</v>
      </c>
      <c r="C37" s="278"/>
      <c r="D37" s="411" t="s">
        <v>165</v>
      </c>
      <c r="E37" s="412" t="s">
        <v>13</v>
      </c>
      <c r="F37" s="93"/>
      <c r="G37" s="94"/>
      <c r="H37" s="160" t="s">
        <v>48</v>
      </c>
      <c r="I37" s="158" t="e">
        <f>((G37/G38)*100 - (F37/F38)*100) / (F37/F38)</f>
        <v>#DIV/0!</v>
      </c>
      <c r="J37" s="413" t="s">
        <v>145</v>
      </c>
      <c r="K37" s="480" t="s">
        <v>57</v>
      </c>
      <c r="L37" s="417" t="s">
        <v>56</v>
      </c>
      <c r="M37" s="160">
        <v>1.5</v>
      </c>
      <c r="N37" s="152" t="e">
        <f>IF(I37&lt;=-5, 1.5, IF(I37=-4, 0.5, IF(I37&gt;-5, IF(I37&lt;-4, 1, IF(I37&lt;0, 0.5, 0)))))</f>
        <v>#DIV/0!</v>
      </c>
      <c r="O37" s="199"/>
      <c r="P37" s="106"/>
    </row>
    <row r="38" spans="1:16" ht="38.85" customHeight="1" thickBot="1">
      <c r="A38" s="279"/>
      <c r="B38" s="246"/>
      <c r="C38" s="278"/>
      <c r="D38" s="409"/>
      <c r="E38" s="410" t="s">
        <v>15</v>
      </c>
      <c r="F38" s="95"/>
      <c r="G38" s="96"/>
      <c r="H38" s="161"/>
      <c r="I38" s="159"/>
      <c r="J38" s="416"/>
      <c r="K38" s="479"/>
      <c r="L38" s="416"/>
      <c r="M38" s="161"/>
      <c r="N38" s="153"/>
      <c r="O38" s="200"/>
    </row>
    <row r="39" spans="1:16" ht="59.1" customHeight="1" thickTop="1">
      <c r="A39" s="279"/>
      <c r="B39" s="246">
        <v>22</v>
      </c>
      <c r="C39" s="278"/>
      <c r="D39" s="411" t="s">
        <v>14</v>
      </c>
      <c r="E39" s="412" t="s">
        <v>149</v>
      </c>
      <c r="F39" s="24"/>
      <c r="G39" s="60"/>
      <c r="H39" s="160" t="s">
        <v>48</v>
      </c>
      <c r="I39" s="158" t="e">
        <f>G39/G40*100</f>
        <v>#DIV/0!</v>
      </c>
      <c r="J39" s="413" t="s">
        <v>146</v>
      </c>
      <c r="K39" s="480" t="s">
        <v>52</v>
      </c>
      <c r="L39" s="417" t="s">
        <v>58</v>
      </c>
      <c r="M39" s="160">
        <v>1.5</v>
      </c>
      <c r="N39" s="152" t="e">
        <f>IF(I39&gt;80, 1.5, IF(I39&gt;=70, 1.25, IF(I39&gt;=50, 1, IF(I39&gt;=30, 0.5, 0))))</f>
        <v>#DIV/0!</v>
      </c>
      <c r="O39" s="199"/>
    </row>
    <row r="40" spans="1:16" ht="37.35" customHeight="1" thickBot="1">
      <c r="A40" s="279"/>
      <c r="B40" s="246"/>
      <c r="C40" s="278"/>
      <c r="D40" s="409"/>
      <c r="E40" s="410" t="s">
        <v>313</v>
      </c>
      <c r="F40" s="25"/>
      <c r="G40" s="59"/>
      <c r="H40" s="161"/>
      <c r="I40" s="159"/>
      <c r="J40" s="416"/>
      <c r="K40" s="479"/>
      <c r="L40" s="416"/>
      <c r="M40" s="161"/>
      <c r="N40" s="153"/>
      <c r="O40" s="200"/>
    </row>
    <row r="41" spans="1:16" ht="75.95" customHeight="1" thickTop="1">
      <c r="A41" s="279"/>
      <c r="B41" s="246">
        <v>23</v>
      </c>
      <c r="C41" s="278"/>
      <c r="D41" s="411" t="s">
        <v>304</v>
      </c>
      <c r="E41" s="412" t="s">
        <v>147</v>
      </c>
      <c r="F41" s="24"/>
      <c r="G41" s="60"/>
      <c r="H41" s="160" t="s">
        <v>48</v>
      </c>
      <c r="I41" s="158" t="e">
        <f>G41/G42*100</f>
        <v>#DIV/0!</v>
      </c>
      <c r="J41" s="413" t="s">
        <v>156</v>
      </c>
      <c r="K41" s="480" t="s">
        <v>57</v>
      </c>
      <c r="L41" s="417" t="s">
        <v>56</v>
      </c>
      <c r="M41" s="160">
        <v>1</v>
      </c>
      <c r="N41" s="152" t="e">
        <f>IF(I41&gt;80, 1, IF(I41&gt;60, 0.75, IF(I41&gt;=40, 0.5, 0)))</f>
        <v>#DIV/0!</v>
      </c>
      <c r="O41" s="199"/>
    </row>
    <row r="42" spans="1:16" ht="56.1" customHeight="1" thickBot="1">
      <c r="A42" s="279"/>
      <c r="B42" s="246"/>
      <c r="C42" s="278"/>
      <c r="D42" s="409"/>
      <c r="E42" s="410" t="s">
        <v>148</v>
      </c>
      <c r="F42" s="25"/>
      <c r="G42" s="59"/>
      <c r="H42" s="161"/>
      <c r="I42" s="159"/>
      <c r="J42" s="416"/>
      <c r="K42" s="479"/>
      <c r="L42" s="416"/>
      <c r="M42" s="161"/>
      <c r="N42" s="153"/>
      <c r="O42" s="200"/>
    </row>
    <row r="43" spans="1:16" ht="49.35" customHeight="1" thickTop="1">
      <c r="A43" s="279"/>
      <c r="B43" s="246">
        <v>24</v>
      </c>
      <c r="C43" s="278"/>
      <c r="D43" s="411" t="s">
        <v>166</v>
      </c>
      <c r="E43" s="412" t="s">
        <v>89</v>
      </c>
      <c r="F43" s="90"/>
      <c r="G43" s="60"/>
      <c r="H43" s="160" t="s">
        <v>48</v>
      </c>
      <c r="I43" s="158" t="e">
        <f>((G43/G44)*100 - (F43/F44)*100) / (F43/F44)</f>
        <v>#DIV/0!</v>
      </c>
      <c r="J43" s="413" t="s">
        <v>162</v>
      </c>
      <c r="K43" s="480" t="s">
        <v>52</v>
      </c>
      <c r="L43" s="417" t="s">
        <v>58</v>
      </c>
      <c r="M43" s="160">
        <v>0.5</v>
      </c>
      <c r="N43" s="162" t="e">
        <f>IF(I43&gt;0, 0.5, 0)</f>
        <v>#DIV/0!</v>
      </c>
      <c r="O43" s="199"/>
    </row>
    <row r="44" spans="1:16" ht="43.5" customHeight="1" thickBot="1">
      <c r="A44" s="279"/>
      <c r="B44" s="246"/>
      <c r="C44" s="278"/>
      <c r="D44" s="409"/>
      <c r="E44" s="410" t="s">
        <v>151</v>
      </c>
      <c r="F44" s="89"/>
      <c r="G44" s="59"/>
      <c r="H44" s="161"/>
      <c r="I44" s="159"/>
      <c r="J44" s="416"/>
      <c r="K44" s="479"/>
      <c r="L44" s="416"/>
      <c r="M44" s="161"/>
      <c r="N44" s="153"/>
      <c r="O44" s="200"/>
    </row>
    <row r="45" spans="1:16" ht="50.85" customHeight="1" thickTop="1">
      <c r="A45" s="279"/>
      <c r="B45" s="246">
        <v>25</v>
      </c>
      <c r="C45" s="278"/>
      <c r="D45" s="411" t="s">
        <v>167</v>
      </c>
      <c r="E45" s="412" t="s">
        <v>152</v>
      </c>
      <c r="F45" s="26"/>
      <c r="G45" s="60"/>
      <c r="H45" s="160" t="s">
        <v>48</v>
      </c>
      <c r="I45" s="158" t="e">
        <f>G45/G46*100</f>
        <v>#DIV/0!</v>
      </c>
      <c r="J45" s="413" t="s">
        <v>179</v>
      </c>
      <c r="K45" s="480" t="s">
        <v>52</v>
      </c>
      <c r="L45" s="417" t="s">
        <v>58</v>
      </c>
      <c r="M45" s="160">
        <v>0.5</v>
      </c>
      <c r="N45" s="162" t="e">
        <f>IF(I45&gt;70,1.5,IF(I45&gt;60,1.25,IF(I45&gt;50,1,IF(I45&gt;=40,0.5,0))))</f>
        <v>#DIV/0!</v>
      </c>
      <c r="O45" s="199"/>
    </row>
    <row r="46" spans="1:16" ht="40.5" customHeight="1" thickBot="1">
      <c r="A46" s="279"/>
      <c r="B46" s="246"/>
      <c r="C46" s="278"/>
      <c r="D46" s="409"/>
      <c r="E46" s="410" t="s">
        <v>15</v>
      </c>
      <c r="F46" s="25"/>
      <c r="G46" s="59"/>
      <c r="H46" s="161"/>
      <c r="I46" s="159"/>
      <c r="J46" s="416"/>
      <c r="K46" s="479"/>
      <c r="L46" s="416"/>
      <c r="M46" s="161"/>
      <c r="N46" s="153"/>
      <c r="O46" s="200"/>
    </row>
    <row r="47" spans="1:16" ht="69.599999999999994" customHeight="1" thickTop="1">
      <c r="A47" s="279"/>
      <c r="B47" s="246">
        <v>26</v>
      </c>
      <c r="C47" s="278"/>
      <c r="D47" s="411" t="s">
        <v>299</v>
      </c>
      <c r="E47" s="412" t="s">
        <v>153</v>
      </c>
      <c r="F47" s="90"/>
      <c r="G47" s="60"/>
      <c r="H47" s="160" t="s">
        <v>48</v>
      </c>
      <c r="I47" s="158" t="e">
        <f>((G47/G48)*100 - (F47/F48)*100) / (F47/F48)</f>
        <v>#DIV/0!</v>
      </c>
      <c r="J47" s="413" t="s">
        <v>163</v>
      </c>
      <c r="K47" s="480" t="s">
        <v>56</v>
      </c>
      <c r="L47" s="417" t="s">
        <v>56</v>
      </c>
      <c r="M47" s="160">
        <v>3</v>
      </c>
      <c r="N47" s="162" t="e">
        <f>IF(I47&gt;=5, 3, IF(I47&gt;=3, 2.5, IF(I47&gt;=2, 2, IF(I47&gt;1, 1, IF(I47&gt;0, 0.5, 0)))))</f>
        <v>#DIV/0!</v>
      </c>
      <c r="O47" s="199"/>
    </row>
    <row r="48" spans="1:16" ht="29.1" customHeight="1" thickBot="1">
      <c r="A48" s="279"/>
      <c r="B48" s="246"/>
      <c r="C48" s="278"/>
      <c r="D48" s="409"/>
      <c r="E48" s="410" t="s">
        <v>154</v>
      </c>
      <c r="F48" s="89"/>
      <c r="G48" s="59"/>
      <c r="H48" s="161"/>
      <c r="I48" s="159"/>
      <c r="J48" s="416"/>
      <c r="K48" s="479"/>
      <c r="L48" s="416"/>
      <c r="M48" s="161"/>
      <c r="N48" s="153"/>
      <c r="O48" s="200"/>
    </row>
    <row r="49" spans="1:16" ht="71.849999999999994" customHeight="1" thickTop="1">
      <c r="A49" s="279"/>
      <c r="B49" s="246">
        <v>27</v>
      </c>
      <c r="C49" s="278"/>
      <c r="D49" s="411" t="s">
        <v>303</v>
      </c>
      <c r="E49" s="412" t="s">
        <v>155</v>
      </c>
      <c r="F49" s="90"/>
      <c r="G49" s="60"/>
      <c r="H49" s="160" t="s">
        <v>48</v>
      </c>
      <c r="I49" s="158" t="e">
        <f>((G49/G50)*100 - (F49/F50)*100) / (F49/F50)</f>
        <v>#DIV/0!</v>
      </c>
      <c r="J49" s="413" t="s">
        <v>164</v>
      </c>
      <c r="K49" s="480" t="s">
        <v>56</v>
      </c>
      <c r="L49" s="417" t="s">
        <v>56</v>
      </c>
      <c r="M49" s="160">
        <v>1</v>
      </c>
      <c r="N49" s="162" t="e">
        <f>IF(I49&gt;=5, 1, IF(I49&gt;=3, 0.75, IF(I49&gt;=2, 0.5, IF(I49&gt;1, 0.25, 0))))</f>
        <v>#DIV/0!</v>
      </c>
      <c r="O49" s="199"/>
    </row>
    <row r="50" spans="1:16" ht="57" customHeight="1" thickBot="1">
      <c r="A50" s="279"/>
      <c r="B50" s="246"/>
      <c r="C50" s="278"/>
      <c r="D50" s="409"/>
      <c r="E50" s="410" t="s">
        <v>154</v>
      </c>
      <c r="F50" s="89"/>
      <c r="G50" s="59"/>
      <c r="H50" s="161"/>
      <c r="I50" s="159"/>
      <c r="J50" s="416"/>
      <c r="K50" s="479"/>
      <c r="L50" s="416"/>
      <c r="M50" s="161"/>
      <c r="N50" s="153"/>
      <c r="O50" s="200"/>
    </row>
    <row r="51" spans="1:16" ht="70.349999999999994" customHeight="1" thickTop="1">
      <c r="A51" s="279"/>
      <c r="B51" s="246">
        <v>28</v>
      </c>
      <c r="C51" s="278"/>
      <c r="D51" s="411" t="s">
        <v>309</v>
      </c>
      <c r="E51" s="412" t="s">
        <v>169</v>
      </c>
      <c r="F51" s="26"/>
      <c r="G51" s="60"/>
      <c r="H51" s="160" t="s">
        <v>48</v>
      </c>
      <c r="I51" s="158" t="e">
        <f>G51/G52*100</f>
        <v>#DIV/0!</v>
      </c>
      <c r="J51" s="413" t="s">
        <v>172</v>
      </c>
      <c r="K51" s="480" t="s">
        <v>52</v>
      </c>
      <c r="L51" s="417" t="s">
        <v>58</v>
      </c>
      <c r="M51" s="160">
        <v>0.5</v>
      </c>
      <c r="N51" s="162" t="e">
        <f>IF(I51=100, 0.5, 0)</f>
        <v>#DIV/0!</v>
      </c>
      <c r="O51" s="199"/>
    </row>
    <row r="52" spans="1:16" ht="49.35" customHeight="1" thickBot="1">
      <c r="A52" s="279"/>
      <c r="B52" s="246"/>
      <c r="C52" s="278"/>
      <c r="D52" s="409"/>
      <c r="E52" s="410" t="s">
        <v>170</v>
      </c>
      <c r="F52" s="25"/>
      <c r="G52" s="59"/>
      <c r="H52" s="161"/>
      <c r="I52" s="159"/>
      <c r="J52" s="416"/>
      <c r="K52" s="479"/>
      <c r="L52" s="416"/>
      <c r="M52" s="161"/>
      <c r="N52" s="153"/>
      <c r="O52" s="200"/>
    </row>
    <row r="53" spans="1:16" ht="38.85" customHeight="1" thickTop="1">
      <c r="A53" s="279"/>
      <c r="B53" s="246">
        <v>29</v>
      </c>
      <c r="C53" s="278"/>
      <c r="D53" s="411" t="s">
        <v>234</v>
      </c>
      <c r="E53" s="412" t="s">
        <v>16</v>
      </c>
      <c r="F53" s="26"/>
      <c r="G53" s="60"/>
      <c r="H53" s="160" t="s">
        <v>48</v>
      </c>
      <c r="I53" s="158" t="e">
        <f>G53/G54*100</f>
        <v>#DIV/0!</v>
      </c>
      <c r="J53" s="413" t="s">
        <v>178</v>
      </c>
      <c r="K53" s="480" t="s">
        <v>52</v>
      </c>
      <c r="L53" s="417" t="s">
        <v>58</v>
      </c>
      <c r="M53" s="160">
        <v>1.5</v>
      </c>
      <c r="N53" s="162" t="e">
        <f>IF(I53&gt;80, 1.5, IF(I53&gt;=60, 1, IF(I53&gt;=40, 0.5, IF(I53&gt;=20, 0.25, 0))))</f>
        <v>#DIV/0!</v>
      </c>
      <c r="O53" s="199"/>
    </row>
    <row r="54" spans="1:16" ht="38.85" customHeight="1" thickBot="1">
      <c r="A54" s="279"/>
      <c r="B54" s="246"/>
      <c r="C54" s="278"/>
      <c r="D54" s="409"/>
      <c r="E54" s="410" t="s">
        <v>171</v>
      </c>
      <c r="F54" s="25"/>
      <c r="G54" s="59"/>
      <c r="H54" s="161"/>
      <c r="I54" s="159"/>
      <c r="J54" s="416"/>
      <c r="K54" s="479"/>
      <c r="L54" s="416"/>
      <c r="M54" s="161"/>
      <c r="N54" s="153"/>
      <c r="O54" s="200"/>
    </row>
    <row r="55" spans="1:16" ht="54.6" customHeight="1" thickTop="1">
      <c r="A55" s="279"/>
      <c r="B55" s="246">
        <v>30</v>
      </c>
      <c r="C55" s="278"/>
      <c r="D55" s="411" t="s">
        <v>300</v>
      </c>
      <c r="E55" s="412" t="s">
        <v>17</v>
      </c>
      <c r="F55" s="26"/>
      <c r="G55" s="60"/>
      <c r="H55" s="160" t="s">
        <v>48</v>
      </c>
      <c r="I55" s="158" t="e">
        <f>G55/G56*100</f>
        <v>#DIV/0!</v>
      </c>
      <c r="J55" s="417" t="s">
        <v>352</v>
      </c>
      <c r="K55" s="480" t="s">
        <v>56</v>
      </c>
      <c r="L55" s="417" t="s">
        <v>56</v>
      </c>
      <c r="M55" s="160">
        <v>1</v>
      </c>
      <c r="N55" s="162" t="e">
        <f>IF(I55&gt;70, 1, IF(I55&gt;=30, 0.5, -1))</f>
        <v>#DIV/0!</v>
      </c>
      <c r="O55" s="354"/>
      <c r="P55" s="265" t="s">
        <v>71</v>
      </c>
    </row>
    <row r="56" spans="1:16" ht="37.5" customHeight="1" thickBot="1">
      <c r="A56" s="279"/>
      <c r="B56" s="246"/>
      <c r="C56" s="278"/>
      <c r="D56" s="409"/>
      <c r="E56" s="410" t="s">
        <v>173</v>
      </c>
      <c r="F56" s="25"/>
      <c r="G56" s="59"/>
      <c r="H56" s="161"/>
      <c r="I56" s="159"/>
      <c r="J56" s="416"/>
      <c r="K56" s="479"/>
      <c r="L56" s="416"/>
      <c r="M56" s="161"/>
      <c r="N56" s="153"/>
      <c r="O56" s="353"/>
      <c r="P56" s="198"/>
    </row>
    <row r="57" spans="1:16" ht="84" customHeight="1" thickTop="1">
      <c r="A57" s="279"/>
      <c r="B57" s="246">
        <v>31</v>
      </c>
      <c r="C57" s="278"/>
      <c r="D57" s="413" t="s">
        <v>174</v>
      </c>
      <c r="E57" s="414" t="s">
        <v>188</v>
      </c>
      <c r="F57" s="23" t="s">
        <v>185</v>
      </c>
      <c r="G57" s="97"/>
      <c r="H57" s="160" t="s">
        <v>48</v>
      </c>
      <c r="I57" s="158" t="e">
        <f>G57/G58*100</f>
        <v>#DIV/0!</v>
      </c>
      <c r="J57" s="417" t="s">
        <v>190</v>
      </c>
      <c r="K57" s="480" t="s">
        <v>56</v>
      </c>
      <c r="L57" s="417" t="s">
        <v>74</v>
      </c>
      <c r="M57" s="160">
        <v>1</v>
      </c>
      <c r="N57" s="162" t="e">
        <f>IF(I57&gt;80, 1, IF(I57&gt;=50, 0.5, 0))</f>
        <v>#DIV/0!</v>
      </c>
      <c r="O57" s="199"/>
      <c r="P57" s="127"/>
    </row>
    <row r="58" spans="1:16" ht="54.95" customHeight="1" thickBot="1">
      <c r="A58" s="279"/>
      <c r="B58" s="246"/>
      <c r="C58" s="278"/>
      <c r="D58" s="413"/>
      <c r="E58" s="415"/>
      <c r="F58" s="22" t="s">
        <v>181</v>
      </c>
      <c r="G58" s="98"/>
      <c r="H58" s="161"/>
      <c r="I58" s="159"/>
      <c r="J58" s="416"/>
      <c r="K58" s="479"/>
      <c r="L58" s="416"/>
      <c r="M58" s="161"/>
      <c r="N58" s="153"/>
      <c r="O58" s="200"/>
      <c r="P58" s="127"/>
    </row>
    <row r="59" spans="1:16" ht="101.45" customHeight="1" thickTop="1">
      <c r="A59" s="279"/>
      <c r="B59" s="246">
        <v>32</v>
      </c>
      <c r="C59" s="278"/>
      <c r="D59" s="413"/>
      <c r="E59" s="414" t="s">
        <v>189</v>
      </c>
      <c r="F59" s="21" t="s">
        <v>186</v>
      </c>
      <c r="G59" s="97"/>
      <c r="H59" s="160" t="s">
        <v>48</v>
      </c>
      <c r="I59" s="158" t="e">
        <f>G59/G60*100</f>
        <v>#DIV/0!</v>
      </c>
      <c r="J59" s="417" t="s">
        <v>191</v>
      </c>
      <c r="K59" s="481" t="s">
        <v>56</v>
      </c>
      <c r="L59" s="417" t="s">
        <v>56</v>
      </c>
      <c r="M59" s="160">
        <v>0.5</v>
      </c>
      <c r="N59" s="162" t="e">
        <f>IF(I59&gt;80, 0.5, IF(I59&gt;=50, 0.25, 0))</f>
        <v>#DIV/0!</v>
      </c>
      <c r="O59" s="120"/>
      <c r="P59" s="127"/>
    </row>
    <row r="60" spans="1:16" ht="69.599999999999994" customHeight="1" thickBot="1">
      <c r="A60" s="279"/>
      <c r="B60" s="246"/>
      <c r="C60" s="278"/>
      <c r="D60" s="413"/>
      <c r="E60" s="415"/>
      <c r="F60" s="22" t="s">
        <v>187</v>
      </c>
      <c r="G60" s="98"/>
      <c r="H60" s="161"/>
      <c r="I60" s="159"/>
      <c r="J60" s="416"/>
      <c r="K60" s="482"/>
      <c r="L60" s="416"/>
      <c r="M60" s="161"/>
      <c r="N60" s="153"/>
      <c r="O60" s="121"/>
      <c r="P60" s="127"/>
    </row>
    <row r="61" spans="1:16" ht="87" customHeight="1" thickTop="1">
      <c r="A61" s="279"/>
      <c r="B61" s="246">
        <v>33</v>
      </c>
      <c r="C61" s="278"/>
      <c r="D61" s="413"/>
      <c r="E61" s="414" t="s">
        <v>341</v>
      </c>
      <c r="F61" s="21" t="s">
        <v>193</v>
      </c>
      <c r="G61" s="58"/>
      <c r="H61" s="237" t="s">
        <v>48</v>
      </c>
      <c r="I61" s="234" t="e">
        <f>G61/G62*100</f>
        <v>#DIV/0!</v>
      </c>
      <c r="J61" s="417" t="s">
        <v>190</v>
      </c>
      <c r="K61" s="478" t="s">
        <v>56</v>
      </c>
      <c r="L61" s="413" t="s">
        <v>56</v>
      </c>
      <c r="M61" s="160">
        <v>1</v>
      </c>
      <c r="N61" s="162" t="e">
        <f>IF(I61&gt;80, 1, IF(I61&gt;=50, 0.5, 0))</f>
        <v>#DIV/0!</v>
      </c>
      <c r="O61" s="345"/>
    </row>
    <row r="62" spans="1:16" ht="135.6" customHeight="1" thickBot="1">
      <c r="A62" s="279"/>
      <c r="B62" s="246"/>
      <c r="C62" s="278"/>
      <c r="D62" s="413"/>
      <c r="E62" s="415"/>
      <c r="F62" s="22" t="s">
        <v>192</v>
      </c>
      <c r="G62" s="59"/>
      <c r="H62" s="161"/>
      <c r="I62" s="159"/>
      <c r="J62" s="416"/>
      <c r="K62" s="479"/>
      <c r="L62" s="416"/>
      <c r="M62" s="161"/>
      <c r="N62" s="153"/>
      <c r="O62" s="200"/>
    </row>
    <row r="63" spans="1:16" ht="126.6" customHeight="1" thickTop="1">
      <c r="A63" s="279"/>
      <c r="B63" s="246">
        <v>34</v>
      </c>
      <c r="C63" s="278"/>
      <c r="D63" s="413"/>
      <c r="E63" s="414" t="s">
        <v>342</v>
      </c>
      <c r="F63" s="23" t="s">
        <v>194</v>
      </c>
      <c r="G63" s="60"/>
      <c r="H63" s="160" t="s">
        <v>48</v>
      </c>
      <c r="I63" s="158" t="e">
        <f>G63/G64*100</f>
        <v>#DIV/0!</v>
      </c>
      <c r="J63" s="417" t="s">
        <v>190</v>
      </c>
      <c r="K63" s="480" t="s">
        <v>58</v>
      </c>
      <c r="L63" s="417" t="s">
        <v>58</v>
      </c>
      <c r="M63" s="534">
        <v>1</v>
      </c>
      <c r="N63" s="186" t="e">
        <f>IF(I63&gt;80, 1, IF(I63&gt;=50, 0.5, 0))</f>
        <v>#DIV/0!</v>
      </c>
      <c r="O63" s="199"/>
    </row>
    <row r="64" spans="1:16" ht="89.85" customHeight="1" thickBot="1">
      <c r="A64" s="279"/>
      <c r="B64" s="246"/>
      <c r="C64" s="278"/>
      <c r="D64" s="416"/>
      <c r="E64" s="415"/>
      <c r="F64" s="22" t="s">
        <v>195</v>
      </c>
      <c r="G64" s="59"/>
      <c r="H64" s="161"/>
      <c r="I64" s="159"/>
      <c r="J64" s="416"/>
      <c r="K64" s="479"/>
      <c r="L64" s="416"/>
      <c r="M64" s="535"/>
      <c r="N64" s="187"/>
      <c r="O64" s="200"/>
    </row>
    <row r="65" spans="1:18" ht="37.5" customHeight="1" thickTop="1">
      <c r="A65" s="279"/>
      <c r="B65" s="246">
        <v>35</v>
      </c>
      <c r="C65" s="278"/>
      <c r="D65" s="417" t="s">
        <v>175</v>
      </c>
      <c r="E65" s="412" t="s">
        <v>20</v>
      </c>
      <c r="F65" s="26"/>
      <c r="G65" s="60"/>
      <c r="H65" s="160" t="s">
        <v>48</v>
      </c>
      <c r="I65" s="232" t="e">
        <f>G65/G66*100</f>
        <v>#DIV/0!</v>
      </c>
      <c r="J65" s="417" t="s">
        <v>196</v>
      </c>
      <c r="K65" s="480" t="s">
        <v>336</v>
      </c>
      <c r="L65" s="417" t="s">
        <v>336</v>
      </c>
      <c r="M65" s="160">
        <v>1.5</v>
      </c>
      <c r="N65" s="162" t="e">
        <f>IF(I65=100, 1.5, IF(I65&gt;=50, 1, 0))</f>
        <v>#DIV/0!</v>
      </c>
      <c r="O65" s="199"/>
    </row>
    <row r="66" spans="1:18" ht="55.5" customHeight="1" thickBot="1">
      <c r="A66" s="279"/>
      <c r="B66" s="246"/>
      <c r="C66" s="278"/>
      <c r="D66" s="416"/>
      <c r="E66" s="410" t="s">
        <v>25</v>
      </c>
      <c r="F66" s="25"/>
      <c r="G66" s="59"/>
      <c r="H66" s="161"/>
      <c r="I66" s="233"/>
      <c r="J66" s="416"/>
      <c r="K66" s="479"/>
      <c r="L66" s="416"/>
      <c r="M66" s="161"/>
      <c r="N66" s="153"/>
      <c r="O66" s="200"/>
    </row>
    <row r="67" spans="1:18" ht="37.5" customHeight="1" thickTop="1">
      <c r="A67" s="279"/>
      <c r="B67" s="246">
        <v>36</v>
      </c>
      <c r="C67" s="278"/>
      <c r="D67" s="417" t="s">
        <v>176</v>
      </c>
      <c r="E67" s="412" t="s">
        <v>21</v>
      </c>
      <c r="F67" s="26"/>
      <c r="G67" s="60"/>
      <c r="H67" s="160" t="s">
        <v>48</v>
      </c>
      <c r="I67" s="232" t="e">
        <f>G67/G68*100</f>
        <v>#DIV/0!</v>
      </c>
      <c r="J67" s="417" t="s">
        <v>197</v>
      </c>
      <c r="K67" s="480" t="s">
        <v>337</v>
      </c>
      <c r="L67" s="417" t="s">
        <v>338</v>
      </c>
      <c r="M67" s="160">
        <v>2</v>
      </c>
      <c r="N67" s="162" t="e">
        <f>IF(I67=100, 2, IF(I67&gt;=50, 1, 0))</f>
        <v>#DIV/0!</v>
      </c>
      <c r="O67" s="199"/>
    </row>
    <row r="68" spans="1:18" ht="37.5" customHeight="1" thickBot="1">
      <c r="A68" s="279"/>
      <c r="B68" s="246"/>
      <c r="C68" s="278"/>
      <c r="D68" s="416"/>
      <c r="E68" s="410" t="s">
        <v>24</v>
      </c>
      <c r="F68" s="25"/>
      <c r="G68" s="59"/>
      <c r="H68" s="161"/>
      <c r="I68" s="233"/>
      <c r="J68" s="416"/>
      <c r="K68" s="479"/>
      <c r="L68" s="416"/>
      <c r="M68" s="161"/>
      <c r="N68" s="153"/>
      <c r="O68" s="200"/>
    </row>
    <row r="69" spans="1:18" ht="49.35" customHeight="1" thickTop="1">
      <c r="A69" s="279"/>
      <c r="B69" s="246">
        <v>37</v>
      </c>
      <c r="C69" s="278"/>
      <c r="D69" s="417" t="s">
        <v>177</v>
      </c>
      <c r="E69" s="412" t="s">
        <v>22</v>
      </c>
      <c r="F69" s="26"/>
      <c r="G69" s="60"/>
      <c r="H69" s="160" t="s">
        <v>48</v>
      </c>
      <c r="I69" s="232" t="e">
        <f>G69/G70*100</f>
        <v>#DIV/0!</v>
      </c>
      <c r="J69" s="417" t="s">
        <v>353</v>
      </c>
      <c r="K69" s="480" t="s">
        <v>336</v>
      </c>
      <c r="L69" s="417" t="s">
        <v>336</v>
      </c>
      <c r="M69" s="160">
        <v>2</v>
      </c>
      <c r="N69" s="162" t="e">
        <f>IF(I69=100, 2, IF(I69&gt;=50, 1, -1))</f>
        <v>#DIV/0!</v>
      </c>
      <c r="O69" s="354"/>
      <c r="P69" s="265" t="s">
        <v>71</v>
      </c>
    </row>
    <row r="70" spans="1:18" ht="49.35" customHeight="1" thickBot="1">
      <c r="A70" s="279"/>
      <c r="B70" s="246"/>
      <c r="C70" s="278"/>
      <c r="D70" s="416"/>
      <c r="E70" s="410" t="s">
        <v>23</v>
      </c>
      <c r="F70" s="25"/>
      <c r="G70" s="59"/>
      <c r="H70" s="161"/>
      <c r="I70" s="233"/>
      <c r="J70" s="416"/>
      <c r="K70" s="479"/>
      <c r="L70" s="416"/>
      <c r="M70" s="161"/>
      <c r="N70" s="153"/>
      <c r="O70" s="353"/>
      <c r="P70" s="198"/>
    </row>
    <row r="71" spans="1:18" ht="75.599999999999994" customHeight="1" thickTop="1">
      <c r="A71" s="279"/>
      <c r="B71" s="246">
        <v>38</v>
      </c>
      <c r="C71" s="278"/>
      <c r="D71" s="417" t="s">
        <v>310</v>
      </c>
      <c r="E71" s="414" t="s">
        <v>311</v>
      </c>
      <c r="F71" s="348"/>
      <c r="G71" s="283" t="s">
        <v>198</v>
      </c>
      <c r="H71" s="263"/>
      <c r="I71" s="270" t="str">
        <f>G71</f>
        <v>اتصال و تعریف تمام کاربران واجد شرایط در سامانه باروری سالم</v>
      </c>
      <c r="J71" s="417" t="s">
        <v>354</v>
      </c>
      <c r="K71" s="480" t="s">
        <v>336</v>
      </c>
      <c r="L71" s="417" t="s">
        <v>60</v>
      </c>
      <c r="M71" s="160">
        <v>1.5</v>
      </c>
      <c r="N71" s="162">
        <f>IF(G71="اتصال و تعریف تمام کاربران واجد شرایط در سامانه باروری سالم", 1.5, IF(G71="وجود برخی نقایص و عدم اتصال و تعریف برخی کاربران واجد شرایط در سامانه باروری سالم", 0, ))</f>
        <v>1.5</v>
      </c>
      <c r="O71" s="199"/>
      <c r="P71" s="106"/>
      <c r="Q71" s="125"/>
      <c r="R71" s="112"/>
    </row>
    <row r="72" spans="1:18" ht="49.35" customHeight="1" thickBot="1">
      <c r="A72" s="279"/>
      <c r="B72" s="246"/>
      <c r="C72" s="278"/>
      <c r="D72" s="416"/>
      <c r="E72" s="415"/>
      <c r="F72" s="349"/>
      <c r="G72" s="284"/>
      <c r="H72" s="264"/>
      <c r="I72" s="271"/>
      <c r="J72" s="416"/>
      <c r="K72" s="479"/>
      <c r="L72" s="416"/>
      <c r="M72" s="161"/>
      <c r="N72" s="153"/>
      <c r="O72" s="200"/>
      <c r="Q72" s="125"/>
      <c r="R72" s="112"/>
    </row>
    <row r="73" spans="1:18" ht="49.35" customHeight="1" thickTop="1">
      <c r="A73" s="279"/>
      <c r="B73" s="246">
        <v>39</v>
      </c>
      <c r="C73" s="278"/>
      <c r="D73" s="417" t="s">
        <v>301</v>
      </c>
      <c r="E73" s="412" t="s">
        <v>315</v>
      </c>
      <c r="F73" s="26"/>
      <c r="G73" s="60"/>
      <c r="H73" s="160" t="s">
        <v>48</v>
      </c>
      <c r="I73" s="232" t="e">
        <f>G73/G74*100</f>
        <v>#DIV/0!</v>
      </c>
      <c r="J73" s="417" t="s">
        <v>190</v>
      </c>
      <c r="K73" s="480" t="s">
        <v>336</v>
      </c>
      <c r="L73" s="417" t="s">
        <v>56</v>
      </c>
      <c r="M73" s="160">
        <v>1</v>
      </c>
      <c r="N73" s="162" t="e">
        <f>IF(I73&gt;80, 1, IF(I73&gt;=50, 0.5, 0))</f>
        <v>#DIV/0!</v>
      </c>
      <c r="O73" s="199"/>
    </row>
    <row r="74" spans="1:18" ht="75.75" customHeight="1" thickBot="1">
      <c r="A74" s="279"/>
      <c r="B74" s="246"/>
      <c r="C74" s="278"/>
      <c r="D74" s="416"/>
      <c r="E74" s="410" t="s">
        <v>314</v>
      </c>
      <c r="F74" s="25"/>
      <c r="G74" s="59"/>
      <c r="H74" s="161"/>
      <c r="I74" s="233"/>
      <c r="J74" s="416"/>
      <c r="K74" s="479"/>
      <c r="L74" s="416"/>
      <c r="M74" s="161"/>
      <c r="N74" s="153"/>
      <c r="O74" s="200"/>
    </row>
    <row r="75" spans="1:18" ht="49.35" customHeight="1" thickTop="1">
      <c r="A75" s="279"/>
      <c r="B75" s="246">
        <v>40</v>
      </c>
      <c r="C75" s="278"/>
      <c r="D75" s="411" t="s">
        <v>36</v>
      </c>
      <c r="E75" s="412" t="s">
        <v>37</v>
      </c>
      <c r="F75" s="26"/>
      <c r="G75" s="60"/>
      <c r="H75" s="160" t="s">
        <v>48</v>
      </c>
      <c r="I75" s="232" t="e">
        <f>G75/G76*100</f>
        <v>#DIV/0!</v>
      </c>
      <c r="J75" s="417" t="s">
        <v>206</v>
      </c>
      <c r="K75" s="480" t="s">
        <v>53</v>
      </c>
      <c r="L75" s="417" t="s">
        <v>58</v>
      </c>
      <c r="M75" s="160">
        <v>0.5</v>
      </c>
      <c r="N75" s="162" t="e">
        <f>IF(I75&gt;70, 0.5, IF(I75&gt;=30, 0.25, 0))</f>
        <v>#DIV/0!</v>
      </c>
      <c r="O75" s="199"/>
    </row>
    <row r="76" spans="1:18" ht="49.35" customHeight="1" thickBot="1">
      <c r="A76" s="279"/>
      <c r="B76" s="246"/>
      <c r="C76" s="278"/>
      <c r="D76" s="409"/>
      <c r="E76" s="410" t="s">
        <v>201</v>
      </c>
      <c r="F76" s="25"/>
      <c r="G76" s="59"/>
      <c r="H76" s="161"/>
      <c r="I76" s="233"/>
      <c r="J76" s="416"/>
      <c r="K76" s="479"/>
      <c r="L76" s="416"/>
      <c r="M76" s="161"/>
      <c r="N76" s="153"/>
      <c r="O76" s="200"/>
    </row>
    <row r="77" spans="1:18" ht="68.099999999999994" customHeight="1" thickTop="1">
      <c r="A77" s="279"/>
      <c r="B77" s="246">
        <v>41</v>
      </c>
      <c r="C77" s="301" t="s">
        <v>18</v>
      </c>
      <c r="D77" s="418" t="s">
        <v>235</v>
      </c>
      <c r="E77" s="419" t="s">
        <v>202</v>
      </c>
      <c r="F77" s="61"/>
      <c r="G77" s="62"/>
      <c r="H77" s="274" t="s">
        <v>48</v>
      </c>
      <c r="I77" s="272" t="e">
        <f>((G77/G78)*100 - (F77/F78)*100) / (F77/F78)</f>
        <v>#DIV/0!</v>
      </c>
      <c r="J77" s="483" t="s">
        <v>204</v>
      </c>
      <c r="K77" s="484" t="s">
        <v>53</v>
      </c>
      <c r="L77" s="520" t="s">
        <v>58</v>
      </c>
      <c r="M77" s="274">
        <v>3</v>
      </c>
      <c r="N77" s="182" t="e">
        <f>IF(I77&gt;=20, 3, IF(I77&gt;=15, 2, IF(I77&gt;10, 1, IF(I77&gt;0, 0.5, 0))))</f>
        <v>#DIV/0!</v>
      </c>
      <c r="O77" s="346"/>
    </row>
    <row r="78" spans="1:18" ht="71.099999999999994" customHeight="1" thickBot="1">
      <c r="A78" s="279"/>
      <c r="B78" s="246"/>
      <c r="C78" s="301"/>
      <c r="D78" s="420"/>
      <c r="E78" s="421" t="s">
        <v>203</v>
      </c>
      <c r="F78" s="63"/>
      <c r="G78" s="64"/>
      <c r="H78" s="275"/>
      <c r="I78" s="273"/>
      <c r="J78" s="485"/>
      <c r="K78" s="486"/>
      <c r="L78" s="521"/>
      <c r="M78" s="275"/>
      <c r="N78" s="183"/>
      <c r="O78" s="347"/>
    </row>
    <row r="79" spans="1:18" ht="40.5" customHeight="1" thickTop="1">
      <c r="A79" s="279"/>
      <c r="B79" s="246">
        <v>42</v>
      </c>
      <c r="C79" s="307" t="s">
        <v>26</v>
      </c>
      <c r="D79" s="422" t="s">
        <v>210</v>
      </c>
      <c r="E79" s="423" t="s">
        <v>105</v>
      </c>
      <c r="F79" s="113"/>
      <c r="G79" s="65"/>
      <c r="H79" s="229" t="s">
        <v>48</v>
      </c>
      <c r="I79" s="227" t="e">
        <f>G79/G80*100</f>
        <v>#DIV/0!</v>
      </c>
      <c r="J79" s="487" t="s">
        <v>205</v>
      </c>
      <c r="K79" s="488" t="s">
        <v>61</v>
      </c>
      <c r="L79" s="522" t="s">
        <v>58</v>
      </c>
      <c r="M79" s="536">
        <v>1</v>
      </c>
      <c r="N79" s="184" t="e">
        <f>IF(I79&gt;80,1,IF(I79&gt;=60,0.5,0))</f>
        <v>#DIV/0!</v>
      </c>
      <c r="O79" s="122"/>
    </row>
    <row r="80" spans="1:18" ht="24.75" customHeight="1" thickBot="1">
      <c r="A80" s="279"/>
      <c r="B80" s="246"/>
      <c r="C80" s="307"/>
      <c r="D80" s="424"/>
      <c r="E80" s="425" t="s">
        <v>106</v>
      </c>
      <c r="F80" s="27"/>
      <c r="G80" s="66"/>
      <c r="H80" s="230"/>
      <c r="I80" s="228"/>
      <c r="J80" s="489"/>
      <c r="K80" s="490"/>
      <c r="L80" s="523"/>
      <c r="M80" s="537"/>
      <c r="N80" s="185"/>
      <c r="O80" s="122"/>
    </row>
    <row r="81" spans="1:16" ht="35.1" customHeight="1" thickTop="1">
      <c r="A81" s="279"/>
      <c r="B81" s="246">
        <v>43</v>
      </c>
      <c r="C81" s="307"/>
      <c r="D81" s="426" t="s">
        <v>211</v>
      </c>
      <c r="E81" s="427" t="s">
        <v>104</v>
      </c>
      <c r="F81" s="113"/>
      <c r="G81" s="65"/>
      <c r="H81" s="229" t="s">
        <v>48</v>
      </c>
      <c r="I81" s="227" t="e">
        <f>G81/G82*100</f>
        <v>#DIV/0!</v>
      </c>
      <c r="J81" s="487" t="s">
        <v>205</v>
      </c>
      <c r="K81" s="488" t="s">
        <v>61</v>
      </c>
      <c r="L81" s="522" t="s">
        <v>58</v>
      </c>
      <c r="M81" s="536">
        <v>1</v>
      </c>
      <c r="N81" s="145" t="e">
        <f>IF(I81&gt;80,1,IF(I81&gt;=60,0.5,0))</f>
        <v>#DIV/0!</v>
      </c>
      <c r="O81" s="332"/>
    </row>
    <row r="82" spans="1:16" ht="65.25" thickBot="1">
      <c r="A82" s="279"/>
      <c r="B82" s="246"/>
      <c r="C82" s="307"/>
      <c r="D82" s="424"/>
      <c r="E82" s="425" t="s">
        <v>105</v>
      </c>
      <c r="F82" s="27"/>
      <c r="G82" s="66"/>
      <c r="H82" s="230"/>
      <c r="I82" s="228"/>
      <c r="J82" s="489"/>
      <c r="K82" s="490"/>
      <c r="L82" s="523"/>
      <c r="M82" s="537"/>
      <c r="N82" s="146"/>
      <c r="O82" s="296"/>
    </row>
    <row r="83" spans="1:16" ht="84.75" customHeight="1" thickTop="1">
      <c r="A83" s="279"/>
      <c r="B83" s="246">
        <v>44</v>
      </c>
      <c r="C83" s="307"/>
      <c r="D83" s="426" t="s">
        <v>212</v>
      </c>
      <c r="E83" s="427" t="s">
        <v>27</v>
      </c>
      <c r="F83" s="113"/>
      <c r="G83" s="65"/>
      <c r="H83" s="229" t="s">
        <v>48</v>
      </c>
      <c r="I83" s="227" t="e">
        <f t="shared" ref="I83" si="0">G83/G84*100</f>
        <v>#DIV/0!</v>
      </c>
      <c r="J83" s="487" t="s">
        <v>355</v>
      </c>
      <c r="K83" s="488" t="s">
        <v>61</v>
      </c>
      <c r="L83" s="229" t="s">
        <v>58</v>
      </c>
      <c r="M83" s="536">
        <v>3</v>
      </c>
      <c r="N83" s="145" t="e">
        <f>IF(I83=100, 3, IF(I83&gt;=80, 1, -1))</f>
        <v>#DIV/0!</v>
      </c>
      <c r="O83" s="355"/>
      <c r="P83" s="333" t="s">
        <v>71</v>
      </c>
    </row>
    <row r="84" spans="1:16" ht="52.35" customHeight="1" thickBot="1">
      <c r="A84" s="279"/>
      <c r="B84" s="246"/>
      <c r="C84" s="307"/>
      <c r="D84" s="424"/>
      <c r="E84" s="425" t="s">
        <v>19</v>
      </c>
      <c r="F84" s="27"/>
      <c r="G84" s="66"/>
      <c r="H84" s="230"/>
      <c r="I84" s="228"/>
      <c r="J84" s="489"/>
      <c r="K84" s="490"/>
      <c r="L84" s="230"/>
      <c r="M84" s="537"/>
      <c r="N84" s="146"/>
      <c r="O84" s="356"/>
      <c r="P84" s="334"/>
    </row>
    <row r="85" spans="1:16" ht="76.349999999999994" customHeight="1" thickTop="1">
      <c r="A85" s="279"/>
      <c r="B85" s="246">
        <v>45</v>
      </c>
      <c r="C85" s="307"/>
      <c r="D85" s="422" t="s">
        <v>95</v>
      </c>
      <c r="E85" s="423" t="s">
        <v>213</v>
      </c>
      <c r="F85" s="113"/>
      <c r="G85" s="67"/>
      <c r="H85" s="231" t="s">
        <v>48</v>
      </c>
      <c r="I85" s="227" t="e">
        <f t="shared" ref="I85" si="1">G85/G86*100</f>
        <v>#DIV/0!</v>
      </c>
      <c r="J85" s="487" t="s">
        <v>207</v>
      </c>
      <c r="K85" s="491" t="s">
        <v>51</v>
      </c>
      <c r="L85" s="231" t="s">
        <v>51</v>
      </c>
      <c r="M85" s="538">
        <v>1</v>
      </c>
      <c r="N85" s="147" t="e">
        <f>IF(I85&gt;80, 1, IF(I85&gt;=30, 0.5, 0))</f>
        <v>#DIV/0!</v>
      </c>
      <c r="O85" s="295"/>
    </row>
    <row r="86" spans="1:16" ht="43.35" customHeight="1" thickBot="1">
      <c r="A86" s="279"/>
      <c r="B86" s="246"/>
      <c r="C86" s="307"/>
      <c r="D86" s="424"/>
      <c r="E86" s="425" t="s">
        <v>28</v>
      </c>
      <c r="F86" s="27"/>
      <c r="G86" s="66"/>
      <c r="H86" s="230"/>
      <c r="I86" s="228"/>
      <c r="J86" s="489"/>
      <c r="K86" s="490"/>
      <c r="L86" s="230"/>
      <c r="M86" s="537"/>
      <c r="N86" s="146"/>
      <c r="O86" s="296"/>
    </row>
    <row r="87" spans="1:16" ht="97.5" thickTop="1">
      <c r="A87" s="279"/>
      <c r="B87" s="246">
        <v>46</v>
      </c>
      <c r="C87" s="307"/>
      <c r="D87" s="422" t="s">
        <v>214</v>
      </c>
      <c r="E87" s="423" t="s">
        <v>216</v>
      </c>
      <c r="F87" s="113"/>
      <c r="G87" s="67"/>
      <c r="H87" s="231" t="s">
        <v>48</v>
      </c>
      <c r="I87" s="227" t="e">
        <f t="shared" ref="I87" si="2">G87/G88*100</f>
        <v>#DIV/0!</v>
      </c>
      <c r="J87" s="487" t="s">
        <v>208</v>
      </c>
      <c r="K87" s="491" t="s">
        <v>62</v>
      </c>
      <c r="L87" s="231" t="s">
        <v>97</v>
      </c>
      <c r="M87" s="538">
        <v>1</v>
      </c>
      <c r="N87" s="147" t="e">
        <f>IF(I87&gt;70, 1, IF(I87&gt;=30, 0.5, 0))</f>
        <v>#DIV/0!</v>
      </c>
      <c r="O87" s="295"/>
    </row>
    <row r="88" spans="1:16" ht="57" customHeight="1" thickBot="1">
      <c r="A88" s="279"/>
      <c r="B88" s="246"/>
      <c r="C88" s="307"/>
      <c r="D88" s="424"/>
      <c r="E88" s="425" t="s">
        <v>215</v>
      </c>
      <c r="F88" s="27"/>
      <c r="G88" s="66"/>
      <c r="H88" s="230"/>
      <c r="I88" s="228"/>
      <c r="J88" s="489"/>
      <c r="K88" s="490"/>
      <c r="L88" s="230"/>
      <c r="M88" s="537"/>
      <c r="N88" s="146"/>
      <c r="O88" s="296"/>
    </row>
    <row r="89" spans="1:16" ht="81" customHeight="1" thickTop="1">
      <c r="A89" s="279"/>
      <c r="B89" s="246">
        <v>47</v>
      </c>
      <c r="C89" s="307"/>
      <c r="D89" s="422" t="s">
        <v>217</v>
      </c>
      <c r="E89" s="423" t="s">
        <v>218</v>
      </c>
      <c r="F89" s="113"/>
      <c r="G89" s="67"/>
      <c r="H89" s="231" t="s">
        <v>48</v>
      </c>
      <c r="I89" s="227" t="e">
        <f t="shared" ref="I89" si="3">G89/G90*100</f>
        <v>#DIV/0!</v>
      </c>
      <c r="J89" s="487" t="s">
        <v>209</v>
      </c>
      <c r="K89" s="491" t="s">
        <v>56</v>
      </c>
      <c r="L89" s="231" t="s">
        <v>56</v>
      </c>
      <c r="M89" s="538">
        <v>2</v>
      </c>
      <c r="N89" s="147" t="e">
        <f>IF(I89&gt;70, 2, IF(I89&gt;=30, 1, 0))</f>
        <v>#DIV/0!</v>
      </c>
      <c r="O89" s="295"/>
    </row>
    <row r="90" spans="1:16" ht="50.1" customHeight="1" thickBot="1">
      <c r="A90" s="279"/>
      <c r="B90" s="246"/>
      <c r="C90" s="307"/>
      <c r="D90" s="424"/>
      <c r="E90" s="425" t="s">
        <v>63</v>
      </c>
      <c r="F90" s="27"/>
      <c r="G90" s="66"/>
      <c r="H90" s="230"/>
      <c r="I90" s="228"/>
      <c r="J90" s="489"/>
      <c r="K90" s="490"/>
      <c r="L90" s="230"/>
      <c r="M90" s="537"/>
      <c r="N90" s="146"/>
      <c r="O90" s="296"/>
    </row>
    <row r="91" spans="1:16" ht="44.1" customHeight="1" thickTop="1">
      <c r="A91" s="279"/>
      <c r="B91" s="246">
        <v>48</v>
      </c>
      <c r="C91" s="307"/>
      <c r="D91" s="422" t="s">
        <v>221</v>
      </c>
      <c r="E91" s="423" t="s">
        <v>219</v>
      </c>
      <c r="F91" s="113"/>
      <c r="G91" s="67"/>
      <c r="H91" s="231" t="s">
        <v>48</v>
      </c>
      <c r="I91" s="227" t="e">
        <f t="shared" ref="I91" si="4">G91/G92*100</f>
        <v>#DIV/0!</v>
      </c>
      <c r="J91" s="487" t="s">
        <v>209</v>
      </c>
      <c r="K91" s="491" t="s">
        <v>56</v>
      </c>
      <c r="L91" s="231" t="s">
        <v>56</v>
      </c>
      <c r="M91" s="538">
        <v>2</v>
      </c>
      <c r="N91" s="147" t="e">
        <f>IF(I91&gt;70, 2, IF(I91&gt;=30, 1, 0))</f>
        <v>#DIV/0!</v>
      </c>
      <c r="O91" s="295"/>
    </row>
    <row r="92" spans="1:16" ht="78.75" customHeight="1" thickBot="1">
      <c r="A92" s="279"/>
      <c r="B92" s="246"/>
      <c r="C92" s="307"/>
      <c r="D92" s="424"/>
      <c r="E92" s="425" t="s">
        <v>220</v>
      </c>
      <c r="F92" s="27"/>
      <c r="G92" s="66"/>
      <c r="H92" s="230"/>
      <c r="I92" s="228"/>
      <c r="J92" s="489"/>
      <c r="K92" s="490"/>
      <c r="L92" s="230"/>
      <c r="M92" s="537"/>
      <c r="N92" s="146"/>
      <c r="O92" s="296"/>
    </row>
    <row r="93" spans="1:16" ht="37.35" customHeight="1" thickTop="1">
      <c r="A93" s="279"/>
      <c r="B93" s="246">
        <v>49</v>
      </c>
      <c r="C93" s="307"/>
      <c r="D93" s="422" t="s">
        <v>222</v>
      </c>
      <c r="E93" s="423" t="s">
        <v>223</v>
      </c>
      <c r="F93" s="28"/>
      <c r="G93" s="67"/>
      <c r="H93" s="231" t="s">
        <v>48</v>
      </c>
      <c r="I93" s="227" t="e">
        <f t="shared" ref="I93" si="5">G93/G94*100</f>
        <v>#DIV/0!</v>
      </c>
      <c r="J93" s="487" t="s">
        <v>331</v>
      </c>
      <c r="K93" s="491" t="s">
        <v>64</v>
      </c>
      <c r="L93" s="231" t="s">
        <v>64</v>
      </c>
      <c r="M93" s="538">
        <v>1</v>
      </c>
      <c r="N93" s="147" t="e">
        <f>IF(I93&gt;70, 1, IF(I93&gt;=50, 0.5, IF(I93&gt;=30, 0.25, 0)))</f>
        <v>#DIV/0!</v>
      </c>
      <c r="O93" s="295"/>
    </row>
    <row r="94" spans="1:16" ht="52.5" customHeight="1" thickBot="1">
      <c r="A94" s="279"/>
      <c r="B94" s="246"/>
      <c r="C94" s="308"/>
      <c r="D94" s="424"/>
      <c r="E94" s="425" t="s">
        <v>224</v>
      </c>
      <c r="F94" s="29"/>
      <c r="G94" s="66"/>
      <c r="H94" s="230"/>
      <c r="I94" s="228"/>
      <c r="J94" s="489"/>
      <c r="K94" s="490"/>
      <c r="L94" s="230"/>
      <c r="M94" s="537"/>
      <c r="N94" s="146"/>
      <c r="O94" s="296"/>
    </row>
    <row r="95" spans="1:16" ht="60.95" customHeight="1" thickTop="1">
      <c r="A95" s="279"/>
      <c r="B95" s="246">
        <v>50</v>
      </c>
      <c r="C95" s="260" t="s">
        <v>29</v>
      </c>
      <c r="D95" s="135" t="s">
        <v>236</v>
      </c>
      <c r="E95" s="428" t="s">
        <v>226</v>
      </c>
      <c r="F95" s="30"/>
      <c r="G95" s="68"/>
      <c r="H95" s="135" t="s">
        <v>48</v>
      </c>
      <c r="I95" s="137" t="e">
        <f>G95/G96*100</f>
        <v>#DIV/0!</v>
      </c>
      <c r="J95" s="487" t="s">
        <v>229</v>
      </c>
      <c r="K95" s="492" t="s">
        <v>64</v>
      </c>
      <c r="L95" s="524" t="s">
        <v>64</v>
      </c>
      <c r="M95" s="539">
        <v>1.5</v>
      </c>
      <c r="N95" s="142" t="e">
        <f>IF(I95&gt;=40,1.5,IF(I95&gt;=30,1,IF(I95&gt;=20,0.5,0)))</f>
        <v>#DIV/0!</v>
      </c>
      <c r="O95" s="297"/>
    </row>
    <row r="96" spans="1:16" ht="51.95" customHeight="1" thickBot="1">
      <c r="A96" s="279"/>
      <c r="B96" s="246"/>
      <c r="C96" s="260"/>
      <c r="D96" s="136"/>
      <c r="E96" s="429" t="s">
        <v>100</v>
      </c>
      <c r="F96" s="31"/>
      <c r="G96" s="69"/>
      <c r="H96" s="136"/>
      <c r="I96" s="138"/>
      <c r="J96" s="489"/>
      <c r="K96" s="493"/>
      <c r="L96" s="525"/>
      <c r="M96" s="540"/>
      <c r="N96" s="141"/>
      <c r="O96" s="298"/>
    </row>
    <row r="97" spans="1:16" ht="97.5" thickTop="1">
      <c r="A97" s="279"/>
      <c r="B97" s="246">
        <v>51</v>
      </c>
      <c r="C97" s="260"/>
      <c r="D97" s="135" t="s">
        <v>98</v>
      </c>
      <c r="E97" s="428" t="s">
        <v>318</v>
      </c>
      <c r="F97" s="30"/>
      <c r="G97" s="68"/>
      <c r="H97" s="135" t="s">
        <v>48</v>
      </c>
      <c r="I97" s="137" t="e">
        <f>G97/G98*100</f>
        <v>#DIV/0!</v>
      </c>
      <c r="J97" s="487" t="s">
        <v>356</v>
      </c>
      <c r="K97" s="492" t="s">
        <v>64</v>
      </c>
      <c r="L97" s="524" t="s">
        <v>64</v>
      </c>
      <c r="M97" s="539">
        <v>1</v>
      </c>
      <c r="N97" s="142" t="e">
        <f>IF(I97&gt;=10, 1, IF(I97&gt;=7, 0.75, IF(I97&gt;=4, 0.5, IF(I97&gt;1, 0.25, 0))))</f>
        <v>#DIV/0!</v>
      </c>
      <c r="O97" s="297"/>
      <c r="P97" s="139" t="s">
        <v>73</v>
      </c>
    </row>
    <row r="98" spans="1:16" ht="45.6" customHeight="1" thickBot="1">
      <c r="A98" s="279"/>
      <c r="B98" s="246"/>
      <c r="C98" s="260"/>
      <c r="D98" s="136"/>
      <c r="E98" s="429" t="s">
        <v>99</v>
      </c>
      <c r="F98" s="31"/>
      <c r="G98" s="69"/>
      <c r="H98" s="136"/>
      <c r="I98" s="138"/>
      <c r="J98" s="489"/>
      <c r="K98" s="493"/>
      <c r="L98" s="525"/>
      <c r="M98" s="540"/>
      <c r="N98" s="141"/>
      <c r="O98" s="298"/>
      <c r="P98" s="140"/>
    </row>
    <row r="99" spans="1:16" ht="66" customHeight="1" thickTop="1">
      <c r="A99" s="279"/>
      <c r="B99" s="246">
        <v>52</v>
      </c>
      <c r="C99" s="260"/>
      <c r="D99" s="135" t="s">
        <v>237</v>
      </c>
      <c r="E99" s="430" t="s">
        <v>228</v>
      </c>
      <c r="F99" s="30"/>
      <c r="G99" s="70"/>
      <c r="H99" s="224" t="s">
        <v>48</v>
      </c>
      <c r="I99" s="137" t="e">
        <f t="shared" ref="I99" si="6">G99/G100*100</f>
        <v>#DIV/0!</v>
      </c>
      <c r="J99" s="487" t="s">
        <v>225</v>
      </c>
      <c r="K99" s="494" t="s">
        <v>64</v>
      </c>
      <c r="L99" s="524" t="s">
        <v>64</v>
      </c>
      <c r="M99" s="539">
        <v>2</v>
      </c>
      <c r="N99" s="142" t="e">
        <f>IF(I99&gt;80, 2, IF(I99&gt;=60, 1.5, IF(I99&gt;=40, 1, IF(I99&gt;=1, 0.5, IF(I99=0, 0)))))</f>
        <v>#DIV/0!</v>
      </c>
      <c r="O99" s="299"/>
    </row>
    <row r="100" spans="1:16" ht="62.25" customHeight="1" thickBot="1">
      <c r="A100" s="279"/>
      <c r="B100" s="246"/>
      <c r="C100" s="260"/>
      <c r="D100" s="136"/>
      <c r="E100" s="431" t="s">
        <v>227</v>
      </c>
      <c r="F100" s="31"/>
      <c r="G100" s="71"/>
      <c r="H100" s="225"/>
      <c r="I100" s="138"/>
      <c r="J100" s="489"/>
      <c r="K100" s="493"/>
      <c r="L100" s="525"/>
      <c r="M100" s="540"/>
      <c r="N100" s="141"/>
      <c r="O100" s="298"/>
      <c r="P100" s="124"/>
    </row>
    <row r="101" spans="1:16" ht="55.5" customHeight="1" thickTop="1">
      <c r="A101" s="279"/>
      <c r="B101" s="246">
        <v>53</v>
      </c>
      <c r="C101" s="260"/>
      <c r="D101" s="135" t="s">
        <v>132</v>
      </c>
      <c r="E101" s="430" t="s">
        <v>101</v>
      </c>
      <c r="F101" s="30"/>
      <c r="G101" s="70"/>
      <c r="H101" s="224" t="s">
        <v>48</v>
      </c>
      <c r="I101" s="137" t="e">
        <f t="shared" ref="I101" si="7">G101/G102*100</f>
        <v>#DIV/0!</v>
      </c>
      <c r="J101" s="487" t="s">
        <v>357</v>
      </c>
      <c r="K101" s="494" t="s">
        <v>62</v>
      </c>
      <c r="L101" s="526" t="s">
        <v>62</v>
      </c>
      <c r="M101" s="539">
        <v>2</v>
      </c>
      <c r="N101" s="142" t="e">
        <f>IF(I101&gt;80, 2, IF(I101&gt;=50, 1, IF(I101&gt;0, 0, -1)))</f>
        <v>#DIV/0!</v>
      </c>
      <c r="O101" s="357"/>
      <c r="P101" s="342" t="s">
        <v>71</v>
      </c>
    </row>
    <row r="102" spans="1:16" ht="51.6" customHeight="1" thickBot="1">
      <c r="A102" s="279"/>
      <c r="B102" s="246"/>
      <c r="C102" s="260"/>
      <c r="D102" s="136"/>
      <c r="E102" s="431" t="s">
        <v>133</v>
      </c>
      <c r="F102" s="31"/>
      <c r="G102" s="72"/>
      <c r="H102" s="225"/>
      <c r="I102" s="138"/>
      <c r="J102" s="489"/>
      <c r="K102" s="493"/>
      <c r="L102" s="525"/>
      <c r="M102" s="540"/>
      <c r="N102" s="141"/>
      <c r="O102" s="358"/>
      <c r="P102" s="343"/>
    </row>
    <row r="103" spans="1:16" ht="90" customHeight="1" thickTop="1">
      <c r="A103" s="279"/>
      <c r="B103" s="246">
        <v>54</v>
      </c>
      <c r="C103" s="260"/>
      <c r="D103" s="135" t="s">
        <v>230</v>
      </c>
      <c r="E103" s="430" t="s">
        <v>231</v>
      </c>
      <c r="F103" s="30"/>
      <c r="G103" s="70"/>
      <c r="H103" s="224" t="s">
        <v>48</v>
      </c>
      <c r="I103" s="137" t="e">
        <f t="shared" ref="I103" si="8">G103/G104*100</f>
        <v>#DIV/0!</v>
      </c>
      <c r="J103" s="487" t="s">
        <v>357</v>
      </c>
      <c r="K103" s="494" t="s">
        <v>65</v>
      </c>
      <c r="L103" s="526" t="s">
        <v>65</v>
      </c>
      <c r="M103" s="539">
        <v>2</v>
      </c>
      <c r="N103" s="142" t="e">
        <f>IF(I103&gt;80, 2, IF(I103&gt;=50, 1, IF(I103&gt;0, 0, -1)))</f>
        <v>#DIV/0!</v>
      </c>
      <c r="O103" s="357"/>
      <c r="P103" s="342" t="s">
        <v>71</v>
      </c>
    </row>
    <row r="104" spans="1:16" ht="71.45" customHeight="1" thickBot="1">
      <c r="A104" s="279"/>
      <c r="B104" s="246"/>
      <c r="C104" s="260"/>
      <c r="D104" s="136"/>
      <c r="E104" s="431" t="s">
        <v>102</v>
      </c>
      <c r="F104" s="31"/>
      <c r="G104" s="72"/>
      <c r="H104" s="225"/>
      <c r="I104" s="138"/>
      <c r="J104" s="489"/>
      <c r="K104" s="493"/>
      <c r="L104" s="525"/>
      <c r="M104" s="540"/>
      <c r="N104" s="141"/>
      <c r="O104" s="358"/>
      <c r="P104" s="343"/>
    </row>
    <row r="105" spans="1:16" ht="41.85" customHeight="1" thickTop="1" thickBot="1">
      <c r="A105" s="279"/>
      <c r="B105" s="246">
        <v>55</v>
      </c>
      <c r="C105" s="318" t="s">
        <v>30</v>
      </c>
      <c r="D105" s="432" t="s">
        <v>232</v>
      </c>
      <c r="E105" s="433" t="s">
        <v>103</v>
      </c>
      <c r="F105" s="76"/>
      <c r="G105" s="73"/>
      <c r="H105" s="226" t="s">
        <v>48</v>
      </c>
      <c r="I105" s="218" t="e">
        <f>((G105/G106)*100 - (F105/F106)*100) / (F105/F106)</f>
        <v>#DIV/0!</v>
      </c>
      <c r="J105" s="495" t="s">
        <v>247</v>
      </c>
      <c r="K105" s="496" t="s">
        <v>66</v>
      </c>
      <c r="L105" s="226" t="s">
        <v>66</v>
      </c>
      <c r="M105" s="541">
        <v>1</v>
      </c>
      <c r="N105" s="261" t="e">
        <f>IF(I105&gt;=40, 1, IF(I105&gt;=30, 0.75, IF(I105&gt;=20, 0.5, IF(I105&gt;=10, 0.25, 0))))</f>
        <v>#DIV/0!</v>
      </c>
      <c r="O105" s="344"/>
    </row>
    <row r="106" spans="1:16" ht="62.25" customHeight="1" thickTop="1" thickBot="1">
      <c r="A106" s="279"/>
      <c r="B106" s="246"/>
      <c r="C106" s="318"/>
      <c r="D106" s="434"/>
      <c r="E106" s="435" t="s">
        <v>31</v>
      </c>
      <c r="F106" s="77"/>
      <c r="G106" s="74"/>
      <c r="H106" s="217"/>
      <c r="I106" s="219"/>
      <c r="J106" s="497"/>
      <c r="K106" s="498"/>
      <c r="L106" s="217"/>
      <c r="M106" s="542"/>
      <c r="N106" s="262"/>
      <c r="O106" s="294"/>
    </row>
    <row r="107" spans="1:16" ht="38.85" customHeight="1" thickTop="1">
      <c r="A107" s="279"/>
      <c r="B107" s="246">
        <v>56</v>
      </c>
      <c r="C107" s="318"/>
      <c r="D107" s="436" t="s">
        <v>320</v>
      </c>
      <c r="E107" s="433" t="s">
        <v>240</v>
      </c>
      <c r="F107" s="32"/>
      <c r="G107" s="75"/>
      <c r="H107" s="216" t="s">
        <v>48</v>
      </c>
      <c r="I107" s="218" t="e">
        <f t="shared" ref="I107" si="9">G107/G108*100</f>
        <v>#DIV/0!</v>
      </c>
      <c r="J107" s="495" t="s">
        <v>248</v>
      </c>
      <c r="K107" s="499" t="s">
        <v>66</v>
      </c>
      <c r="L107" s="527" t="s">
        <v>66</v>
      </c>
      <c r="M107" s="543">
        <v>1</v>
      </c>
      <c r="N107" s="261" t="e">
        <f>IF(I107&gt;50, 1, IF(I107&gt;=30, 0.5, 0))</f>
        <v>#DIV/0!</v>
      </c>
      <c r="O107" s="293"/>
    </row>
    <row r="108" spans="1:16" ht="54.75" customHeight="1" thickBot="1">
      <c r="A108" s="279"/>
      <c r="B108" s="246"/>
      <c r="C108" s="318"/>
      <c r="D108" s="437"/>
      <c r="E108" s="435" t="s">
        <v>239</v>
      </c>
      <c r="F108" s="33"/>
      <c r="G108" s="74"/>
      <c r="H108" s="217"/>
      <c r="I108" s="219"/>
      <c r="J108" s="497"/>
      <c r="K108" s="498"/>
      <c r="L108" s="217"/>
      <c r="M108" s="544"/>
      <c r="N108" s="262"/>
      <c r="O108" s="294"/>
    </row>
    <row r="109" spans="1:16" ht="38.85" customHeight="1" thickTop="1">
      <c r="A109" s="279"/>
      <c r="B109" s="246">
        <v>57</v>
      </c>
      <c r="C109" s="318"/>
      <c r="D109" s="436" t="s">
        <v>321</v>
      </c>
      <c r="E109" s="433" t="s">
        <v>241</v>
      </c>
      <c r="F109" s="32"/>
      <c r="G109" s="75"/>
      <c r="H109" s="216" t="s">
        <v>48</v>
      </c>
      <c r="I109" s="218" t="e">
        <f t="shared" ref="I109" si="10">G109/G110*100</f>
        <v>#DIV/0!</v>
      </c>
      <c r="J109" s="495" t="s">
        <v>248</v>
      </c>
      <c r="K109" s="499" t="s">
        <v>66</v>
      </c>
      <c r="L109" s="527" t="s">
        <v>66</v>
      </c>
      <c r="M109" s="543">
        <v>1</v>
      </c>
      <c r="N109" s="261" t="e">
        <f>IF(I109&gt;50, 1, IF(I109&gt;=30, 0.5, 0))</f>
        <v>#DIV/0!</v>
      </c>
      <c r="O109" s="293"/>
    </row>
    <row r="110" spans="1:16" ht="87" customHeight="1" thickBot="1">
      <c r="A110" s="279"/>
      <c r="B110" s="246"/>
      <c r="C110" s="318"/>
      <c r="D110" s="437"/>
      <c r="E110" s="435" t="s">
        <v>238</v>
      </c>
      <c r="F110" s="33"/>
      <c r="G110" s="74"/>
      <c r="H110" s="217"/>
      <c r="I110" s="219"/>
      <c r="J110" s="497"/>
      <c r="K110" s="498"/>
      <c r="L110" s="217"/>
      <c r="M110" s="544"/>
      <c r="N110" s="262"/>
      <c r="O110" s="294"/>
    </row>
    <row r="111" spans="1:16" ht="38.85" customHeight="1" thickTop="1">
      <c r="A111" s="279"/>
      <c r="B111" s="246">
        <v>58</v>
      </c>
      <c r="C111" s="318"/>
      <c r="D111" s="436" t="s">
        <v>322</v>
      </c>
      <c r="E111" s="433" t="s">
        <v>245</v>
      </c>
      <c r="F111" s="32"/>
      <c r="G111" s="75"/>
      <c r="H111" s="216" t="s">
        <v>48</v>
      </c>
      <c r="I111" s="218" t="e">
        <f t="shared" ref="I111" si="11">G111/G112*100</f>
        <v>#DIV/0!</v>
      </c>
      <c r="J111" s="495" t="s">
        <v>248</v>
      </c>
      <c r="K111" s="499" t="s">
        <v>66</v>
      </c>
      <c r="L111" s="527" t="s">
        <v>96</v>
      </c>
      <c r="M111" s="543">
        <v>1</v>
      </c>
      <c r="N111" s="261" t="e">
        <f>IF(I111&gt;50, 1, IF(I111&gt;=30, 0.5, 0))</f>
        <v>#DIV/0!</v>
      </c>
      <c r="O111" s="293"/>
    </row>
    <row r="112" spans="1:16" ht="57" customHeight="1" thickBot="1">
      <c r="A112" s="279"/>
      <c r="B112" s="246"/>
      <c r="C112" s="318"/>
      <c r="D112" s="437"/>
      <c r="E112" s="435" t="s">
        <v>246</v>
      </c>
      <c r="F112" s="33"/>
      <c r="G112" s="74"/>
      <c r="H112" s="217"/>
      <c r="I112" s="219"/>
      <c r="J112" s="497"/>
      <c r="K112" s="498"/>
      <c r="L112" s="217"/>
      <c r="M112" s="544"/>
      <c r="N112" s="262"/>
      <c r="O112" s="294"/>
    </row>
    <row r="113" spans="1:16" ht="23.85" customHeight="1" thickTop="1">
      <c r="A113" s="279"/>
      <c r="B113" s="246">
        <v>59</v>
      </c>
      <c r="C113" s="318"/>
      <c r="D113" s="226" t="s">
        <v>242</v>
      </c>
      <c r="E113" s="433" t="s">
        <v>243</v>
      </c>
      <c r="F113" s="32"/>
      <c r="G113" s="75"/>
      <c r="H113" s="216" t="s">
        <v>48</v>
      </c>
      <c r="I113" s="218" t="e">
        <f t="shared" ref="I113" si="12">G113/G114*100</f>
        <v>#DIV/0!</v>
      </c>
      <c r="J113" s="495" t="s">
        <v>319</v>
      </c>
      <c r="K113" s="496" t="s">
        <v>66</v>
      </c>
      <c r="L113" s="226" t="s">
        <v>66</v>
      </c>
      <c r="M113" s="545">
        <v>1</v>
      </c>
      <c r="N113" s="261" t="e">
        <f>IF(I113&gt;80, 1, IF(I113&gt;=40, 0.5, 0))</f>
        <v>#DIV/0!</v>
      </c>
      <c r="O113" s="344"/>
    </row>
    <row r="114" spans="1:16" ht="65.25" thickBot="1">
      <c r="A114" s="279"/>
      <c r="B114" s="246"/>
      <c r="C114" s="318"/>
      <c r="D114" s="217"/>
      <c r="E114" s="435" t="s">
        <v>244</v>
      </c>
      <c r="F114" s="33"/>
      <c r="G114" s="74"/>
      <c r="H114" s="217"/>
      <c r="I114" s="219"/>
      <c r="J114" s="497"/>
      <c r="K114" s="498"/>
      <c r="L114" s="217"/>
      <c r="M114" s="544"/>
      <c r="N114" s="262"/>
      <c r="O114" s="294"/>
    </row>
    <row r="115" spans="1:16" ht="81" customHeight="1" thickTop="1">
      <c r="A115" s="279"/>
      <c r="B115" s="246">
        <v>60</v>
      </c>
      <c r="C115" s="315" t="s">
        <v>32</v>
      </c>
      <c r="D115" s="438" t="s">
        <v>323</v>
      </c>
      <c r="E115" s="439" t="s">
        <v>250</v>
      </c>
      <c r="F115" s="34"/>
      <c r="G115" s="78"/>
      <c r="H115" s="222" t="s">
        <v>48</v>
      </c>
      <c r="I115" s="220" t="e">
        <f>G115/G116*100</f>
        <v>#DIV/0!</v>
      </c>
      <c r="J115" s="500" t="s">
        <v>266</v>
      </c>
      <c r="K115" s="501" t="s">
        <v>66</v>
      </c>
      <c r="L115" s="438" t="s">
        <v>66</v>
      </c>
      <c r="M115" s="222">
        <v>0.5</v>
      </c>
      <c r="N115" s="179" t="e">
        <f>IF(I115&gt;60, 0.5, IF(I115&gt;=40, 0.25, 0))</f>
        <v>#DIV/0!</v>
      </c>
      <c r="O115" s="304"/>
    </row>
    <row r="116" spans="1:16" ht="65.25" customHeight="1" thickBot="1">
      <c r="A116" s="279"/>
      <c r="B116" s="246"/>
      <c r="C116" s="316"/>
      <c r="D116" s="440"/>
      <c r="E116" s="441" t="s">
        <v>249</v>
      </c>
      <c r="F116" s="35"/>
      <c r="G116" s="79"/>
      <c r="H116" s="223"/>
      <c r="I116" s="221"/>
      <c r="J116" s="502"/>
      <c r="K116" s="503"/>
      <c r="L116" s="440"/>
      <c r="M116" s="223"/>
      <c r="N116" s="180"/>
      <c r="O116" s="305"/>
    </row>
    <row r="117" spans="1:16" ht="60" customHeight="1" thickTop="1">
      <c r="A117" s="279"/>
      <c r="B117" s="246">
        <v>61</v>
      </c>
      <c r="C117" s="316"/>
      <c r="D117" s="442" t="s">
        <v>252</v>
      </c>
      <c r="E117" s="443" t="s">
        <v>255</v>
      </c>
      <c r="F117" s="34"/>
      <c r="G117" s="78"/>
      <c r="H117" s="214" t="s">
        <v>48</v>
      </c>
      <c r="I117" s="220" t="e">
        <f t="shared" ref="I117" si="13">G117/G118*100</f>
        <v>#DIV/0!</v>
      </c>
      <c r="J117" s="500" t="s">
        <v>267</v>
      </c>
      <c r="K117" s="501" t="s">
        <v>66</v>
      </c>
      <c r="L117" s="438" t="s">
        <v>66</v>
      </c>
      <c r="M117" s="222">
        <v>1.5</v>
      </c>
      <c r="N117" s="179" t="e">
        <f>IF(I117&gt;80, 1.5, IF(I117&gt;=60, 1, IF(I117&gt;=40, 0.5, IF(I117&gt;0, 0.25, 0))))</f>
        <v>#DIV/0!</v>
      </c>
      <c r="O117" s="304"/>
    </row>
    <row r="118" spans="1:16" ht="63.75" customHeight="1" thickBot="1">
      <c r="A118" s="279"/>
      <c r="B118" s="246"/>
      <c r="C118" s="316"/>
      <c r="D118" s="444"/>
      <c r="E118" s="441" t="s">
        <v>251</v>
      </c>
      <c r="F118" s="35"/>
      <c r="G118" s="79"/>
      <c r="H118" s="320"/>
      <c r="I118" s="221"/>
      <c r="J118" s="502"/>
      <c r="K118" s="503"/>
      <c r="L118" s="440"/>
      <c r="M118" s="223"/>
      <c r="N118" s="180"/>
      <c r="O118" s="305"/>
    </row>
    <row r="119" spans="1:16" ht="54.95" customHeight="1" thickTop="1">
      <c r="A119" s="279"/>
      <c r="B119" s="246">
        <v>62</v>
      </c>
      <c r="C119" s="316"/>
      <c r="D119" s="442" t="s">
        <v>253</v>
      </c>
      <c r="E119" s="443" t="s">
        <v>254</v>
      </c>
      <c r="F119" s="34"/>
      <c r="G119" s="78"/>
      <c r="H119" s="222" t="s">
        <v>48</v>
      </c>
      <c r="I119" s="220" t="e">
        <f t="shared" ref="I119" si="14">G119/G120*100</f>
        <v>#DIV/0!</v>
      </c>
      <c r="J119" s="500" t="s">
        <v>358</v>
      </c>
      <c r="K119" s="504" t="s">
        <v>66</v>
      </c>
      <c r="L119" s="528" t="s">
        <v>66</v>
      </c>
      <c r="M119" s="222">
        <v>2</v>
      </c>
      <c r="N119" s="179" t="e">
        <f>IF(I119&gt;80, 2, IF(I119&gt;=60, 1.5, IF(I119&gt;=40, 1, IF(I119&gt;0, 0.5, -2))))</f>
        <v>#DIV/0!</v>
      </c>
      <c r="O119" s="338"/>
      <c r="P119" s="330" t="s">
        <v>71</v>
      </c>
    </row>
    <row r="120" spans="1:16" ht="63.6" customHeight="1" thickBot="1">
      <c r="A120" s="279"/>
      <c r="B120" s="246"/>
      <c r="C120" s="316"/>
      <c r="D120" s="444"/>
      <c r="E120" s="441" t="s">
        <v>33</v>
      </c>
      <c r="F120" s="35"/>
      <c r="G120" s="79"/>
      <c r="H120" s="223"/>
      <c r="I120" s="221"/>
      <c r="J120" s="502"/>
      <c r="K120" s="503"/>
      <c r="L120" s="440"/>
      <c r="M120" s="223"/>
      <c r="N120" s="180"/>
      <c r="O120" s="339"/>
      <c r="P120" s="331"/>
    </row>
    <row r="121" spans="1:16" ht="58.5" customHeight="1" thickTop="1">
      <c r="A121" s="279"/>
      <c r="B121" s="246">
        <v>63</v>
      </c>
      <c r="C121" s="316"/>
      <c r="D121" s="442" t="s">
        <v>256</v>
      </c>
      <c r="E121" s="443" t="s">
        <v>258</v>
      </c>
      <c r="F121" s="34"/>
      <c r="G121" s="78"/>
      <c r="H121" s="214" t="s">
        <v>48</v>
      </c>
      <c r="I121" s="220" t="e">
        <f t="shared" ref="I121" si="15">G121/G122*100</f>
        <v>#DIV/0!</v>
      </c>
      <c r="J121" s="500" t="s">
        <v>268</v>
      </c>
      <c r="K121" s="504" t="s">
        <v>66</v>
      </c>
      <c r="L121" s="528" t="s">
        <v>66</v>
      </c>
      <c r="M121" s="222">
        <v>2</v>
      </c>
      <c r="N121" s="179" t="e">
        <f>IF(I121&gt;80, 2, IF(I121&gt;=60, 1.5, IF(I121&gt;=40, 1, IF(I121&gt;0, 0.5, 0))))</f>
        <v>#DIV/0!</v>
      </c>
      <c r="O121" s="338"/>
      <c r="P121" s="335" t="s">
        <v>73</v>
      </c>
    </row>
    <row r="122" spans="1:16" ht="72.95" customHeight="1" thickBot="1">
      <c r="A122" s="279"/>
      <c r="B122" s="246"/>
      <c r="C122" s="316"/>
      <c r="D122" s="444"/>
      <c r="E122" s="441" t="s">
        <v>257</v>
      </c>
      <c r="F122" s="35"/>
      <c r="G122" s="79"/>
      <c r="H122" s="215"/>
      <c r="I122" s="221"/>
      <c r="J122" s="502"/>
      <c r="K122" s="503"/>
      <c r="L122" s="440"/>
      <c r="M122" s="223"/>
      <c r="N122" s="180"/>
      <c r="O122" s="339"/>
      <c r="P122" s="336"/>
    </row>
    <row r="123" spans="1:16" ht="72.75" customHeight="1" thickTop="1">
      <c r="A123" s="279"/>
      <c r="B123" s="246">
        <v>64</v>
      </c>
      <c r="C123" s="316"/>
      <c r="D123" s="442" t="s">
        <v>269</v>
      </c>
      <c r="E123" s="443" t="s">
        <v>260</v>
      </c>
      <c r="F123" s="34"/>
      <c r="G123" s="285" t="s">
        <v>273</v>
      </c>
      <c r="H123" s="266"/>
      <c r="I123" s="268" t="str">
        <f>G123</f>
        <v>جذب کامل اعتبار مربوطه</v>
      </c>
      <c r="J123" s="500" t="s">
        <v>302</v>
      </c>
      <c r="K123" s="501" t="s">
        <v>66</v>
      </c>
      <c r="L123" s="438" t="s">
        <v>66</v>
      </c>
      <c r="M123" s="222">
        <v>2</v>
      </c>
      <c r="N123" s="179">
        <f>IF(G123="جذب کامل اعتبار مربوطه", 2, IF(G123="جذب بخشی از اعتبار مربوطه", 1, IF(G123="  عدم جذب اعتبار مربوطه",0,)))</f>
        <v>2</v>
      </c>
      <c r="O123" s="340"/>
      <c r="P123" s="337" t="s">
        <v>73</v>
      </c>
    </row>
    <row r="124" spans="1:16" ht="77.25" customHeight="1" thickBot="1">
      <c r="A124" s="279"/>
      <c r="B124" s="246"/>
      <c r="C124" s="316"/>
      <c r="D124" s="444"/>
      <c r="E124" s="441" t="s">
        <v>259</v>
      </c>
      <c r="F124" s="35"/>
      <c r="G124" s="286"/>
      <c r="H124" s="267"/>
      <c r="I124" s="269"/>
      <c r="J124" s="502"/>
      <c r="K124" s="503"/>
      <c r="L124" s="440"/>
      <c r="M124" s="223"/>
      <c r="N124" s="180"/>
      <c r="O124" s="341"/>
      <c r="P124" s="336"/>
    </row>
    <row r="125" spans="1:16" ht="125.1" customHeight="1" thickTop="1">
      <c r="A125" s="279"/>
      <c r="B125" s="246">
        <v>65</v>
      </c>
      <c r="C125" s="316"/>
      <c r="D125" s="442" t="s">
        <v>261</v>
      </c>
      <c r="E125" s="443" t="s">
        <v>263</v>
      </c>
      <c r="F125" s="34"/>
      <c r="G125" s="78"/>
      <c r="H125" s="214" t="s">
        <v>48</v>
      </c>
      <c r="I125" s="220" t="e">
        <f t="shared" ref="I125" si="16">G125/G126*100</f>
        <v>#DIV/0!</v>
      </c>
      <c r="J125" s="500" t="s">
        <v>274</v>
      </c>
      <c r="K125" s="501" t="s">
        <v>66</v>
      </c>
      <c r="L125" s="438" t="s">
        <v>86</v>
      </c>
      <c r="M125" s="222">
        <v>1.5</v>
      </c>
      <c r="N125" s="179" t="e">
        <f>IF(I125=5, 1.5, IF(I125&gt;0, 0.5, 0))</f>
        <v>#DIV/0!</v>
      </c>
      <c r="O125" s="304"/>
    </row>
    <row r="126" spans="1:16" ht="99" customHeight="1" thickBot="1">
      <c r="A126" s="279"/>
      <c r="B126" s="246"/>
      <c r="C126" s="316"/>
      <c r="D126" s="444"/>
      <c r="E126" s="441" t="s">
        <v>262</v>
      </c>
      <c r="F126" s="35"/>
      <c r="G126" s="79"/>
      <c r="H126" s="320"/>
      <c r="I126" s="221"/>
      <c r="J126" s="502"/>
      <c r="K126" s="503"/>
      <c r="L126" s="440"/>
      <c r="M126" s="223"/>
      <c r="N126" s="180"/>
      <c r="O126" s="305"/>
      <c r="P126" s="127"/>
    </row>
    <row r="127" spans="1:16" ht="73.349999999999994" customHeight="1" thickTop="1">
      <c r="A127" s="279"/>
      <c r="B127" s="246">
        <v>66</v>
      </c>
      <c r="C127" s="316"/>
      <c r="D127" s="442" t="s">
        <v>343</v>
      </c>
      <c r="E127" s="439" t="s">
        <v>332</v>
      </c>
      <c r="F127" s="34"/>
      <c r="G127" s="78"/>
      <c r="H127" s="215" t="s">
        <v>48</v>
      </c>
      <c r="I127" s="220" t="e">
        <f t="shared" ref="I127" si="17">G127/G128*100</f>
        <v>#DIV/0!</v>
      </c>
      <c r="J127" s="500" t="s">
        <v>275</v>
      </c>
      <c r="K127" s="504" t="s">
        <v>69</v>
      </c>
      <c r="L127" s="438" t="s">
        <v>81</v>
      </c>
      <c r="M127" s="222">
        <v>1</v>
      </c>
      <c r="N127" s="179" t="e">
        <f>IF(I127&gt;=15, 1, IF(I127&gt;=10, 0.75, IF(I127&gt;=5, 0.5, IF(I127&gt;=2, 0.25, 0))))</f>
        <v>#DIV/0!</v>
      </c>
      <c r="O127" s="304"/>
      <c r="P127" s="127"/>
    </row>
    <row r="128" spans="1:16" ht="61.35" customHeight="1" thickBot="1">
      <c r="A128" s="279"/>
      <c r="B128" s="246"/>
      <c r="C128" s="316"/>
      <c r="D128" s="444"/>
      <c r="E128" s="441" t="s">
        <v>333</v>
      </c>
      <c r="F128" s="35"/>
      <c r="G128" s="79"/>
      <c r="H128" s="320"/>
      <c r="I128" s="221"/>
      <c r="J128" s="502"/>
      <c r="K128" s="503"/>
      <c r="L128" s="440"/>
      <c r="M128" s="223"/>
      <c r="N128" s="180"/>
      <c r="O128" s="305"/>
      <c r="P128"/>
    </row>
    <row r="129" spans="1:16" ht="201" customHeight="1" thickTop="1">
      <c r="A129" s="279"/>
      <c r="B129" s="246">
        <v>67</v>
      </c>
      <c r="C129" s="316"/>
      <c r="D129" s="442" t="s">
        <v>264</v>
      </c>
      <c r="E129" s="439" t="s">
        <v>334</v>
      </c>
      <c r="F129" s="34"/>
      <c r="G129" s="80"/>
      <c r="H129" s="215" t="s">
        <v>48</v>
      </c>
      <c r="I129" s="220" t="e">
        <f t="shared" ref="I129" si="18">G129/G130*100</f>
        <v>#DIV/0!</v>
      </c>
      <c r="J129" s="500" t="s">
        <v>275</v>
      </c>
      <c r="K129" s="501" t="s">
        <v>70</v>
      </c>
      <c r="L129" s="438" t="s">
        <v>81</v>
      </c>
      <c r="M129" s="222">
        <v>1</v>
      </c>
      <c r="N129" s="179" t="e">
        <f>IF(I129&gt;=15, 1, IF(I129&gt;=10, 0.75, IF(I129&gt;=5, 0.5, IF(I129&gt;=2, 0.25, 0))))</f>
        <v>#DIV/0!</v>
      </c>
      <c r="O129" s="304"/>
      <c r="P129"/>
    </row>
    <row r="130" spans="1:16" ht="173.1" customHeight="1" thickBot="1">
      <c r="A130" s="279"/>
      <c r="B130" s="246"/>
      <c r="C130" s="317"/>
      <c r="D130" s="444"/>
      <c r="E130" s="441" t="s">
        <v>265</v>
      </c>
      <c r="F130" s="35"/>
      <c r="G130" s="79"/>
      <c r="H130" s="320"/>
      <c r="I130" s="221"/>
      <c r="J130" s="502"/>
      <c r="K130" s="503"/>
      <c r="L130" s="440"/>
      <c r="M130" s="223"/>
      <c r="N130" s="180"/>
      <c r="O130" s="305"/>
    </row>
    <row r="131" spans="1:16" ht="132" customHeight="1" thickTop="1">
      <c r="A131" s="279"/>
      <c r="B131" s="246">
        <v>68</v>
      </c>
      <c r="C131" s="327" t="s">
        <v>35</v>
      </c>
      <c r="D131" s="445" t="s">
        <v>278</v>
      </c>
      <c r="E131" s="446" t="s">
        <v>277</v>
      </c>
      <c r="F131" s="115"/>
      <c r="G131" s="81"/>
      <c r="H131" s="203" t="s">
        <v>48</v>
      </c>
      <c r="I131" s="206" t="e">
        <f>G131/G132*100</f>
        <v>#DIV/0!</v>
      </c>
      <c r="J131" s="505" t="s">
        <v>359</v>
      </c>
      <c r="K131" s="506" t="s">
        <v>67</v>
      </c>
      <c r="L131" s="450" t="s">
        <v>339</v>
      </c>
      <c r="M131" s="203">
        <v>2</v>
      </c>
      <c r="N131" s="181" t="e">
        <f>IF(I131&gt;=80, 2, IF(I131&gt;=60, 1.5, IF(I131&gt;=40, 1, IF(I131&gt;=30, 0.5, 0))))</f>
        <v>#DIV/0!</v>
      </c>
      <c r="O131" s="306"/>
    </row>
    <row r="132" spans="1:16" ht="100.35" customHeight="1" thickBot="1">
      <c r="A132" s="279"/>
      <c r="B132" s="246"/>
      <c r="C132" s="328"/>
      <c r="D132" s="447"/>
      <c r="E132" s="448" t="s">
        <v>276</v>
      </c>
      <c r="F132" s="37"/>
      <c r="G132" s="82"/>
      <c r="H132" s="204"/>
      <c r="I132" s="207"/>
      <c r="J132" s="507"/>
      <c r="K132" s="508"/>
      <c r="L132" s="451"/>
      <c r="M132" s="204"/>
      <c r="N132" s="174"/>
      <c r="O132" s="290"/>
    </row>
    <row r="133" spans="1:16" ht="67.5" customHeight="1" thickTop="1">
      <c r="A133" s="279"/>
      <c r="B133" s="246">
        <v>69</v>
      </c>
      <c r="C133" s="328"/>
      <c r="D133" s="445" t="s">
        <v>280</v>
      </c>
      <c r="E133" s="449" t="s">
        <v>279</v>
      </c>
      <c r="F133" s="36"/>
      <c r="G133" s="81"/>
      <c r="H133" s="205" t="s">
        <v>48</v>
      </c>
      <c r="I133" s="206" t="e">
        <f>G133/G134*100</f>
        <v>#DIV/0!</v>
      </c>
      <c r="J133" s="505" t="s">
        <v>326</v>
      </c>
      <c r="K133" s="509" t="s">
        <v>52</v>
      </c>
      <c r="L133" s="529" t="s">
        <v>58</v>
      </c>
      <c r="M133" s="203">
        <v>1.5</v>
      </c>
      <c r="N133" s="181" t="e">
        <f>IF(I133&gt;=80, 1.5, IF(I133&gt;=60, 1, IF(I133&gt;=40, 0.5, IF(I133&gt;0, 0.25, 0))))</f>
        <v>#DIV/0!</v>
      </c>
      <c r="O133" s="289"/>
    </row>
    <row r="134" spans="1:16" ht="68.849999999999994" customHeight="1" thickBot="1">
      <c r="A134" s="279"/>
      <c r="B134" s="246"/>
      <c r="C134" s="328"/>
      <c r="D134" s="447"/>
      <c r="E134" s="448" t="s">
        <v>281</v>
      </c>
      <c r="F134" s="37"/>
      <c r="G134" s="81"/>
      <c r="H134" s="204"/>
      <c r="I134" s="207"/>
      <c r="J134" s="507"/>
      <c r="K134" s="508"/>
      <c r="L134" s="451"/>
      <c r="M134" s="204"/>
      <c r="N134" s="174"/>
      <c r="O134" s="290"/>
    </row>
    <row r="135" spans="1:16" ht="89.1" customHeight="1" thickTop="1">
      <c r="A135" s="279"/>
      <c r="B135" s="258">
        <v>70</v>
      </c>
      <c r="C135" s="328"/>
      <c r="D135" s="445" t="s">
        <v>283</v>
      </c>
      <c r="E135" s="449" t="s">
        <v>284</v>
      </c>
      <c r="F135" s="36"/>
      <c r="G135" s="83"/>
      <c r="H135" s="205" t="s">
        <v>48</v>
      </c>
      <c r="I135" s="206" t="e">
        <f>G135/G136*100</f>
        <v>#DIV/0!</v>
      </c>
      <c r="J135" s="505" t="s">
        <v>287</v>
      </c>
      <c r="K135" s="509" t="s">
        <v>52</v>
      </c>
      <c r="L135" s="529" t="s">
        <v>58</v>
      </c>
      <c r="M135" s="546">
        <v>0.5</v>
      </c>
      <c r="N135" s="173" t="e">
        <f>IF(I135&gt;=50, 0.5, IF(I135&gt;0, 0.25, 0))</f>
        <v>#DIV/0!</v>
      </c>
      <c r="O135" s="289"/>
      <c r="P135" s="287" t="s">
        <v>73</v>
      </c>
    </row>
    <row r="136" spans="1:16" ht="90.6" customHeight="1" thickBot="1">
      <c r="A136" s="279"/>
      <c r="B136" s="259"/>
      <c r="C136" s="328"/>
      <c r="D136" s="447"/>
      <c r="E136" s="448" t="s">
        <v>282</v>
      </c>
      <c r="F136" s="37"/>
      <c r="G136" s="82"/>
      <c r="H136" s="204"/>
      <c r="I136" s="207"/>
      <c r="J136" s="507"/>
      <c r="K136" s="508"/>
      <c r="L136" s="451"/>
      <c r="M136" s="204"/>
      <c r="N136" s="174"/>
      <c r="O136" s="290"/>
      <c r="P136" s="288"/>
    </row>
    <row r="137" spans="1:16" ht="102.6" customHeight="1" thickTop="1">
      <c r="A137" s="279"/>
      <c r="B137" s="258">
        <v>71</v>
      </c>
      <c r="C137" s="328"/>
      <c r="D137" s="450" t="s">
        <v>324</v>
      </c>
      <c r="E137" s="449" t="s">
        <v>286</v>
      </c>
      <c r="F137" s="36"/>
      <c r="G137" s="83"/>
      <c r="H137" s="205" t="s">
        <v>48</v>
      </c>
      <c r="I137" s="206" t="e">
        <f>G137/G138*100</f>
        <v>#DIV/0!</v>
      </c>
      <c r="J137" s="505" t="s">
        <v>325</v>
      </c>
      <c r="K137" s="509" t="s">
        <v>56</v>
      </c>
      <c r="L137" s="529" t="s">
        <v>56</v>
      </c>
      <c r="M137" s="546">
        <v>1</v>
      </c>
      <c r="N137" s="173" t="e">
        <f>IF(I137&gt;80, 1, IF(I137&gt;=60, 0.75, IF(I137&gt;=40, 0.5, IF(I137&gt;0, 0.25, 0))))</f>
        <v>#DIV/0!</v>
      </c>
      <c r="O137" s="289"/>
    </row>
    <row r="138" spans="1:16" ht="77.849999999999994" customHeight="1" thickBot="1">
      <c r="A138" s="279"/>
      <c r="B138" s="259"/>
      <c r="C138" s="328"/>
      <c r="D138" s="451"/>
      <c r="E138" s="448" t="s">
        <v>285</v>
      </c>
      <c r="F138" s="37"/>
      <c r="G138" s="82"/>
      <c r="H138" s="204"/>
      <c r="I138" s="207"/>
      <c r="J138" s="507"/>
      <c r="K138" s="508"/>
      <c r="L138" s="451"/>
      <c r="M138" s="204"/>
      <c r="N138" s="174"/>
      <c r="O138" s="290"/>
    </row>
    <row r="139" spans="1:16" ht="77.849999999999994" customHeight="1" thickTop="1">
      <c r="A139" s="279"/>
      <c r="B139" s="258">
        <v>72</v>
      </c>
      <c r="C139" s="328"/>
      <c r="D139" s="450" t="s">
        <v>54</v>
      </c>
      <c r="E139" s="452" t="s">
        <v>344</v>
      </c>
      <c r="F139" s="36"/>
      <c r="G139" s="309" t="s">
        <v>290</v>
      </c>
      <c r="H139" s="311"/>
      <c r="I139" s="313" t="str">
        <f>G139</f>
        <v>راه اندازی مرکز نفس با همکاری دانشگاه/دانشکده</v>
      </c>
      <c r="J139" s="505" t="s">
        <v>289</v>
      </c>
      <c r="K139" s="509" t="s">
        <v>52</v>
      </c>
      <c r="L139" s="529" t="s">
        <v>58</v>
      </c>
      <c r="M139" s="546">
        <v>0.5</v>
      </c>
      <c r="N139" s="173">
        <f>IF(G139="راه اندازی مرکز نفس با همکاری دانشگاه/دانشکده", 0.5, IF(G139="عدم راه اندازی مراکز نفس ", 0, 0))</f>
        <v>0.5</v>
      </c>
      <c r="O139" s="350"/>
      <c r="P139" s="287" t="s">
        <v>73</v>
      </c>
    </row>
    <row r="140" spans="1:16" ht="77.849999999999994" customHeight="1" thickBot="1">
      <c r="A140" s="279"/>
      <c r="B140" s="259"/>
      <c r="C140" s="329"/>
      <c r="D140" s="451"/>
      <c r="E140" s="453"/>
      <c r="F140" s="37"/>
      <c r="G140" s="310"/>
      <c r="H140" s="312"/>
      <c r="I140" s="314"/>
      <c r="J140" s="507"/>
      <c r="K140" s="508"/>
      <c r="L140" s="451"/>
      <c r="M140" s="204"/>
      <c r="N140" s="174"/>
      <c r="O140" s="351"/>
      <c r="P140" s="288"/>
    </row>
    <row r="141" spans="1:16" ht="45.6" customHeight="1" thickTop="1">
      <c r="A141" s="279"/>
      <c r="B141" s="258">
        <v>73</v>
      </c>
      <c r="C141" s="321" t="s">
        <v>40</v>
      </c>
      <c r="D141" s="454" t="s">
        <v>39</v>
      </c>
      <c r="E141" s="455" t="s">
        <v>41</v>
      </c>
      <c r="F141" s="38"/>
      <c r="G141" s="84"/>
      <c r="H141" s="210" t="s">
        <v>48</v>
      </c>
      <c r="I141" s="208" t="e">
        <f>G141/G142*100</f>
        <v>#DIV/0!</v>
      </c>
      <c r="J141" s="510" t="s">
        <v>294</v>
      </c>
      <c r="K141" s="511" t="s">
        <v>68</v>
      </c>
      <c r="L141" s="530" t="s">
        <v>68</v>
      </c>
      <c r="M141" s="547">
        <v>2</v>
      </c>
      <c r="N141" s="175" t="e">
        <f>IF(I141&gt;=70, 2, IF(I141&gt;=40, 1.5, IF(I141&gt;=10, 1, 0)))</f>
        <v>#DIV/0!</v>
      </c>
      <c r="O141" s="291"/>
    </row>
    <row r="142" spans="1:16" ht="55.35" customHeight="1" thickBot="1">
      <c r="A142" s="279"/>
      <c r="B142" s="259"/>
      <c r="C142" s="322"/>
      <c r="D142" s="456"/>
      <c r="E142" s="457" t="s">
        <v>292</v>
      </c>
      <c r="F142" s="39"/>
      <c r="G142" s="85"/>
      <c r="H142" s="211"/>
      <c r="I142" s="209"/>
      <c r="J142" s="512"/>
      <c r="K142" s="513"/>
      <c r="L142" s="531"/>
      <c r="M142" s="548"/>
      <c r="N142" s="176"/>
      <c r="O142" s="292"/>
    </row>
    <row r="143" spans="1:16" ht="47.1" customHeight="1" thickTop="1">
      <c r="A143" s="279"/>
      <c r="B143" s="258">
        <v>74</v>
      </c>
      <c r="C143" s="322"/>
      <c r="D143" s="458" t="s">
        <v>293</v>
      </c>
      <c r="E143" s="459" t="s">
        <v>42</v>
      </c>
      <c r="F143" s="325"/>
      <c r="G143" s="323"/>
      <c r="H143" s="210" t="s">
        <v>48</v>
      </c>
      <c r="I143" s="212"/>
      <c r="J143" s="510" t="s">
        <v>295</v>
      </c>
      <c r="K143" s="514" t="s">
        <v>56</v>
      </c>
      <c r="L143" s="532" t="s">
        <v>56</v>
      </c>
      <c r="M143" s="549">
        <v>1.5</v>
      </c>
      <c r="N143" s="177"/>
      <c r="O143" s="300"/>
    </row>
    <row r="144" spans="1:16" ht="46.35" customHeight="1" thickBot="1">
      <c r="A144" s="279"/>
      <c r="B144" s="259"/>
      <c r="C144" s="322"/>
      <c r="D144" s="456"/>
      <c r="E144" s="460"/>
      <c r="F144" s="326"/>
      <c r="G144" s="324"/>
      <c r="H144" s="211"/>
      <c r="I144" s="213"/>
      <c r="J144" s="512"/>
      <c r="K144" s="513"/>
      <c r="L144" s="531"/>
      <c r="M144" s="548"/>
      <c r="N144" s="178"/>
      <c r="O144" s="292"/>
    </row>
    <row r="145" spans="1:15" ht="86.85" customHeight="1" thickTop="1" thickBot="1">
      <c r="A145" s="279"/>
      <c r="B145" s="9">
        <v>75</v>
      </c>
      <c r="C145" s="319" t="s">
        <v>44</v>
      </c>
      <c r="D145" s="461" t="s">
        <v>43</v>
      </c>
      <c r="E145" s="462" t="s">
        <v>47</v>
      </c>
      <c r="F145" s="40"/>
      <c r="G145" s="87"/>
      <c r="H145" s="118"/>
      <c r="I145" s="91"/>
      <c r="J145" s="515" t="s">
        <v>296</v>
      </c>
      <c r="K145" s="516" t="s">
        <v>49</v>
      </c>
      <c r="L145" s="461" t="s">
        <v>58</v>
      </c>
      <c r="M145" s="550">
        <v>1</v>
      </c>
      <c r="N145" s="114"/>
      <c r="O145" s="86"/>
    </row>
    <row r="146" spans="1:15" ht="75.599999999999994" customHeight="1" thickTop="1" thickBot="1">
      <c r="A146" s="279"/>
      <c r="B146" s="9">
        <v>76</v>
      </c>
      <c r="C146" s="319"/>
      <c r="D146" s="461" t="s">
        <v>45</v>
      </c>
      <c r="E146" s="462" t="s">
        <v>46</v>
      </c>
      <c r="F146" s="40"/>
      <c r="G146" s="87"/>
      <c r="H146" s="118"/>
      <c r="I146" s="91"/>
      <c r="J146" s="515" t="s">
        <v>297</v>
      </c>
      <c r="K146" s="516"/>
      <c r="L146" s="461" t="s">
        <v>335</v>
      </c>
      <c r="M146" s="550">
        <v>1.5</v>
      </c>
      <c r="N146" s="114"/>
      <c r="O146" s="86"/>
    </row>
    <row r="147" spans="1:15" ht="74.849999999999994" customHeight="1" thickTop="1"/>
    <row r="148" spans="1:15" ht="77.099999999999994" customHeight="1"/>
    <row r="149" spans="1:15" ht="72.599999999999994" customHeight="1"/>
    <row r="150" spans="1:15" ht="99.6" customHeight="1"/>
    <row r="151" spans="1:15" ht="68.849999999999994" customHeight="1">
      <c r="A151"/>
    </row>
    <row r="152" spans="1:15" ht="86.1" customHeight="1">
      <c r="A152"/>
    </row>
    <row r="153" spans="1:15" ht="74.849999999999994" customHeight="1">
      <c r="A153"/>
    </row>
    <row r="154" spans="1:15" ht="88.5" customHeight="1">
      <c r="A154"/>
    </row>
    <row r="155" spans="1:15" ht="59.85" customHeight="1">
      <c r="A155"/>
    </row>
    <row r="156" spans="1:15" ht="62.85" customHeight="1"/>
    <row r="157" spans="1:15" ht="65.099999999999994" customHeight="1"/>
    <row r="158" spans="1:15" ht="64.349999999999994" customHeight="1"/>
    <row r="159" spans="1:15" ht="72.599999999999994" customHeight="1"/>
    <row r="160" spans="1:15" ht="67.5" customHeight="1"/>
    <row r="161" spans="2:11" ht="62.1" customHeight="1"/>
    <row r="162" spans="2:11" ht="62.45" customHeight="1"/>
    <row r="163" spans="2:11" ht="29.45" customHeight="1"/>
    <row r="175" spans="2:11">
      <c r="B175"/>
      <c r="D175" s="3"/>
      <c r="E175" s="3"/>
      <c r="F175" s="3"/>
      <c r="G175" s="3"/>
      <c r="K175" s="117"/>
    </row>
  </sheetData>
  <sheetProtection algorithmName="SHA-512" hashValue="DBEgqY/c74gIIeRVm9QC55g097sk2RVc+DVQGjjpRvcO8HYyrDWuEEpd6NL9qbHjx3kG6WARAiYOZFcU3YIOTA==" saltValue="GjS3qHOIYpD/13nRXPyiUg==" spinCount="100000" sheet="1" formatCells="0" formatColumns="0" formatRows="0" insertColumns="0" insertRows="0" insertHyperlinks="0" deleteColumns="0" deleteRows="0" sort="0" autoFilter="0" pivotTables="0"/>
  <autoFilter ref="A2:K146"/>
  <mergeCells count="738">
    <mergeCell ref="O18:O19"/>
    <mergeCell ref="O35:O36"/>
    <mergeCell ref="O55:O56"/>
    <mergeCell ref="O69:O70"/>
    <mergeCell ref="O83:O84"/>
    <mergeCell ref="O97:O98"/>
    <mergeCell ref="O101:O102"/>
    <mergeCell ref="O103:O104"/>
    <mergeCell ref="O119:O120"/>
    <mergeCell ref="F71:F72"/>
    <mergeCell ref="H75:H76"/>
    <mergeCell ref="K71:K72"/>
    <mergeCell ref="K69:K70"/>
    <mergeCell ref="M65:M66"/>
    <mergeCell ref="M67:M68"/>
    <mergeCell ref="M69:M70"/>
    <mergeCell ref="H85:H86"/>
    <mergeCell ref="I81:I82"/>
    <mergeCell ref="I83:I84"/>
    <mergeCell ref="L117:L118"/>
    <mergeCell ref="P121:P122"/>
    <mergeCell ref="P123:P124"/>
    <mergeCell ref="O87:O88"/>
    <mergeCell ref="O89:O90"/>
    <mergeCell ref="J129:J130"/>
    <mergeCell ref="O121:O122"/>
    <mergeCell ref="O123:O124"/>
    <mergeCell ref="P101:P102"/>
    <mergeCell ref="P103:P104"/>
    <mergeCell ref="O105:O106"/>
    <mergeCell ref="O109:O110"/>
    <mergeCell ref="O111:O112"/>
    <mergeCell ref="O113:O114"/>
    <mergeCell ref="O115:O116"/>
    <mergeCell ref="O117:O118"/>
    <mergeCell ref="N99:N100"/>
    <mergeCell ref="N101:N102"/>
    <mergeCell ref="N103:N104"/>
    <mergeCell ref="N105:N106"/>
    <mergeCell ref="N107:N108"/>
    <mergeCell ref="N109:N110"/>
    <mergeCell ref="P97:P98"/>
    <mergeCell ref="N111:N112"/>
    <mergeCell ref="N113:N114"/>
    <mergeCell ref="N115:N116"/>
    <mergeCell ref="N117:N118"/>
    <mergeCell ref="P119:P120"/>
    <mergeCell ref="O81:O82"/>
    <mergeCell ref="P83:P84"/>
    <mergeCell ref="O85:O86"/>
    <mergeCell ref="M129:M130"/>
    <mergeCell ref="M101:M102"/>
    <mergeCell ref="N119:N120"/>
    <mergeCell ref="J127:J128"/>
    <mergeCell ref="H107:H108"/>
    <mergeCell ref="I107:I108"/>
    <mergeCell ref="J107:J108"/>
    <mergeCell ref="H113:H114"/>
    <mergeCell ref="I113:I114"/>
    <mergeCell ref="J113:J114"/>
    <mergeCell ref="C131:C140"/>
    <mergeCell ref="B123:B124"/>
    <mergeCell ref="B125:B126"/>
    <mergeCell ref="H109:H110"/>
    <mergeCell ref="I109:I110"/>
    <mergeCell ref="J109:J110"/>
    <mergeCell ref="J117:J118"/>
    <mergeCell ref="C145:C146"/>
    <mergeCell ref="H129:H130"/>
    <mergeCell ref="I129:I130"/>
    <mergeCell ref="D133:D134"/>
    <mergeCell ref="D137:D138"/>
    <mergeCell ref="H117:H118"/>
    <mergeCell ref="I117:I118"/>
    <mergeCell ref="H119:H120"/>
    <mergeCell ref="D125:D126"/>
    <mergeCell ref="I119:I120"/>
    <mergeCell ref="I131:I132"/>
    <mergeCell ref="H127:H128"/>
    <mergeCell ref="I127:I128"/>
    <mergeCell ref="D139:D140"/>
    <mergeCell ref="E143:E144"/>
    <mergeCell ref="C141:C144"/>
    <mergeCell ref="D141:D142"/>
    <mergeCell ref="D143:D144"/>
    <mergeCell ref="H125:H126"/>
    <mergeCell ref="I125:I126"/>
    <mergeCell ref="G143:G144"/>
    <mergeCell ref="F143:F144"/>
    <mergeCell ref="D135:D136"/>
    <mergeCell ref="D129:D130"/>
    <mergeCell ref="B127:B128"/>
    <mergeCell ref="B129:B130"/>
    <mergeCell ref="B135:B136"/>
    <mergeCell ref="B139:B140"/>
    <mergeCell ref="C115:C130"/>
    <mergeCell ref="D105:D106"/>
    <mergeCell ref="D127:D128"/>
    <mergeCell ref="D91:D92"/>
    <mergeCell ref="D113:D114"/>
    <mergeCell ref="C105:C114"/>
    <mergeCell ref="D115:D116"/>
    <mergeCell ref="D117:D118"/>
    <mergeCell ref="D119:D120"/>
    <mergeCell ref="B115:B116"/>
    <mergeCell ref="B117:B118"/>
    <mergeCell ref="B119:B120"/>
    <mergeCell ref="B121:B122"/>
    <mergeCell ref="B105:B106"/>
    <mergeCell ref="B107:B108"/>
    <mergeCell ref="B131:B132"/>
    <mergeCell ref="B111:B112"/>
    <mergeCell ref="B113:B114"/>
    <mergeCell ref="B133:B134"/>
    <mergeCell ref="B137:B138"/>
    <mergeCell ref="M139:M140"/>
    <mergeCell ref="E139:E140"/>
    <mergeCell ref="G139:G140"/>
    <mergeCell ref="M133:M134"/>
    <mergeCell ref="M137:M138"/>
    <mergeCell ref="L133:L134"/>
    <mergeCell ref="H137:H138"/>
    <mergeCell ref="I137:I138"/>
    <mergeCell ref="J137:J138"/>
    <mergeCell ref="L137:L138"/>
    <mergeCell ref="H135:H136"/>
    <mergeCell ref="I135:I136"/>
    <mergeCell ref="J135:J136"/>
    <mergeCell ref="K135:K136"/>
    <mergeCell ref="L135:L136"/>
    <mergeCell ref="K137:K138"/>
    <mergeCell ref="H139:H140"/>
    <mergeCell ref="I139:I140"/>
    <mergeCell ref="O143:O144"/>
    <mergeCell ref="C77:C78"/>
    <mergeCell ref="J33:J34"/>
    <mergeCell ref="K33:K34"/>
    <mergeCell ref="L33:L34"/>
    <mergeCell ref="I33:I34"/>
    <mergeCell ref="H33:H34"/>
    <mergeCell ref="O125:O126"/>
    <mergeCell ref="O127:O128"/>
    <mergeCell ref="O129:O130"/>
    <mergeCell ref="O131:O132"/>
    <mergeCell ref="O133:O134"/>
    <mergeCell ref="C79:C94"/>
    <mergeCell ref="K129:K130"/>
    <mergeCell ref="L129:L130"/>
    <mergeCell ref="K127:K128"/>
    <mergeCell ref="L127:L128"/>
    <mergeCell ref="D123:D124"/>
    <mergeCell ref="O43:O44"/>
    <mergeCell ref="O45:O46"/>
    <mergeCell ref="O47:O48"/>
    <mergeCell ref="O49:O50"/>
    <mergeCell ref="O51:O52"/>
    <mergeCell ref="O53:O54"/>
    <mergeCell ref="P135:P136"/>
    <mergeCell ref="O137:O138"/>
    <mergeCell ref="P139:P140"/>
    <mergeCell ref="O141:O142"/>
    <mergeCell ref="O107:O108"/>
    <mergeCell ref="O91:O92"/>
    <mergeCell ref="O93:O94"/>
    <mergeCell ref="O95:O96"/>
    <mergeCell ref="O99:O100"/>
    <mergeCell ref="O135:O136"/>
    <mergeCell ref="O139:O140"/>
    <mergeCell ref="A1:O1"/>
    <mergeCell ref="M25:M26"/>
    <mergeCell ref="M30:M31"/>
    <mergeCell ref="M33:M34"/>
    <mergeCell ref="M35:M36"/>
    <mergeCell ref="M37:M38"/>
    <mergeCell ref="D51:D52"/>
    <mergeCell ref="B51:B52"/>
    <mergeCell ref="B57:B58"/>
    <mergeCell ref="C35:C76"/>
    <mergeCell ref="D55:D56"/>
    <mergeCell ref="B55:B56"/>
    <mergeCell ref="B59:B60"/>
    <mergeCell ref="B61:B62"/>
    <mergeCell ref="M18:M19"/>
    <mergeCell ref="M21:M22"/>
    <mergeCell ref="A3:A146"/>
    <mergeCell ref="C25:C34"/>
    <mergeCell ref="G71:G72"/>
    <mergeCell ref="G123:G124"/>
    <mergeCell ref="B109:B110"/>
    <mergeCell ref="B141:B142"/>
    <mergeCell ref="B143:B144"/>
    <mergeCell ref="I121:I122"/>
    <mergeCell ref="D121:D122"/>
    <mergeCell ref="D73:D74"/>
    <mergeCell ref="I77:I78"/>
    <mergeCell ref="J77:J78"/>
    <mergeCell ref="J69:J70"/>
    <mergeCell ref="L77:L78"/>
    <mergeCell ref="E57:E58"/>
    <mergeCell ref="E61:E62"/>
    <mergeCell ref="E63:E64"/>
    <mergeCell ref="K57:K58"/>
    <mergeCell ref="K65:K66"/>
    <mergeCell ref="K67:K68"/>
    <mergeCell ref="H77:H78"/>
    <mergeCell ref="K77:K78"/>
    <mergeCell ref="H81:H82"/>
    <mergeCell ref="D75:D76"/>
    <mergeCell ref="J121:J122"/>
    <mergeCell ref="K121:K122"/>
    <mergeCell ref="L121:L122"/>
    <mergeCell ref="K107:K108"/>
    <mergeCell ref="L107:L108"/>
    <mergeCell ref="K109:K110"/>
    <mergeCell ref="L109:L110"/>
    <mergeCell ref="K117:K118"/>
    <mergeCell ref="H83:H84"/>
    <mergeCell ref="J83:J84"/>
    <mergeCell ref="K83:K84"/>
    <mergeCell ref="L83:L84"/>
    <mergeCell ref="P55:P56"/>
    <mergeCell ref="O57:O58"/>
    <mergeCell ref="D107:D108"/>
    <mergeCell ref="D109:D110"/>
    <mergeCell ref="D97:D98"/>
    <mergeCell ref="I71:I72"/>
    <mergeCell ref="D85:D86"/>
    <mergeCell ref="E59:E60"/>
    <mergeCell ref="E71:E72"/>
    <mergeCell ref="O61:O62"/>
    <mergeCell ref="O63:O64"/>
    <mergeCell ref="O65:O66"/>
    <mergeCell ref="O67:O68"/>
    <mergeCell ref="P69:P70"/>
    <mergeCell ref="O71:O72"/>
    <mergeCell ref="O73:O74"/>
    <mergeCell ref="O75:O76"/>
    <mergeCell ref="O77:O78"/>
    <mergeCell ref="J81:J82"/>
    <mergeCell ref="K81:K82"/>
    <mergeCell ref="M103:M104"/>
    <mergeCell ref="M105:M106"/>
    <mergeCell ref="M135:M136"/>
    <mergeCell ref="M89:M90"/>
    <mergeCell ref="M91:M92"/>
    <mergeCell ref="M93:M94"/>
    <mergeCell ref="D57:D64"/>
    <mergeCell ref="H61:H62"/>
    <mergeCell ref="H63:H64"/>
    <mergeCell ref="M131:M132"/>
    <mergeCell ref="D93:D94"/>
    <mergeCell ref="D131:D132"/>
    <mergeCell ref="D111:D112"/>
    <mergeCell ref="D77:D78"/>
    <mergeCell ref="L69:L70"/>
    <mergeCell ref="K87:K88"/>
    <mergeCell ref="L87:L88"/>
    <mergeCell ref="I73:I74"/>
    <mergeCell ref="I75:I76"/>
    <mergeCell ref="H87:H88"/>
    <mergeCell ref="I69:I70"/>
    <mergeCell ref="H69:H70"/>
    <mergeCell ref="H71:H72"/>
    <mergeCell ref="I85:I86"/>
    <mergeCell ref="H73:H74"/>
    <mergeCell ref="L61:L62"/>
    <mergeCell ref="L63:L64"/>
    <mergeCell ref="J63:J64"/>
    <mergeCell ref="H49:H50"/>
    <mergeCell ref="H51:H52"/>
    <mergeCell ref="H53:H54"/>
    <mergeCell ref="M141:M142"/>
    <mergeCell ref="M143:M144"/>
    <mergeCell ref="M117:M118"/>
    <mergeCell ref="M119:M120"/>
    <mergeCell ref="M121:M122"/>
    <mergeCell ref="M123:M124"/>
    <mergeCell ref="M125:M126"/>
    <mergeCell ref="M127:M128"/>
    <mergeCell ref="M81:M82"/>
    <mergeCell ref="M83:M84"/>
    <mergeCell ref="M107:M108"/>
    <mergeCell ref="M109:M110"/>
    <mergeCell ref="M111:M112"/>
    <mergeCell ref="M113:M114"/>
    <mergeCell ref="M115:M116"/>
    <mergeCell ref="M95:M96"/>
    <mergeCell ref="M99:M100"/>
    <mergeCell ref="J87:J88"/>
    <mergeCell ref="L71:L72"/>
    <mergeCell ref="J73:J74"/>
    <mergeCell ref="K73:K74"/>
    <mergeCell ref="L73:L74"/>
    <mergeCell ref="J75:J76"/>
    <mergeCell ref="K75:K76"/>
    <mergeCell ref="L75:L76"/>
    <mergeCell ref="J71:J72"/>
    <mergeCell ref="J85:J86"/>
    <mergeCell ref="K85:K86"/>
    <mergeCell ref="L85:L86"/>
    <mergeCell ref="L81:L82"/>
    <mergeCell ref="D87:D88"/>
    <mergeCell ref="B85:B86"/>
    <mergeCell ref="B87:B88"/>
    <mergeCell ref="D81:D82"/>
    <mergeCell ref="D83:D84"/>
    <mergeCell ref="B81:B82"/>
    <mergeCell ref="B83:B84"/>
    <mergeCell ref="B95:B96"/>
    <mergeCell ref="B99:B100"/>
    <mergeCell ref="B101:B102"/>
    <mergeCell ref="B103:B104"/>
    <mergeCell ref="D95:D96"/>
    <mergeCell ref="D99:D100"/>
    <mergeCell ref="D101:D102"/>
    <mergeCell ref="D103:D104"/>
    <mergeCell ref="C95:C104"/>
    <mergeCell ref="B89:B90"/>
    <mergeCell ref="B91:B92"/>
    <mergeCell ref="B93:B94"/>
    <mergeCell ref="B97:B98"/>
    <mergeCell ref="D89:D90"/>
    <mergeCell ref="D43:D44"/>
    <mergeCell ref="D45:D46"/>
    <mergeCell ref="D47:D48"/>
    <mergeCell ref="D49:D50"/>
    <mergeCell ref="B43:B44"/>
    <mergeCell ref="B45:B46"/>
    <mergeCell ref="B47:B48"/>
    <mergeCell ref="B49:B50"/>
    <mergeCell ref="B53:B54"/>
    <mergeCell ref="B65:B66"/>
    <mergeCell ref="D67:D68"/>
    <mergeCell ref="B67:B68"/>
    <mergeCell ref="D69:D70"/>
    <mergeCell ref="B69:B70"/>
    <mergeCell ref="D71:D72"/>
    <mergeCell ref="B71:B72"/>
    <mergeCell ref="D53:D54"/>
    <mergeCell ref="B79:B80"/>
    <mergeCell ref="D79:D80"/>
    <mergeCell ref="B77:B78"/>
    <mergeCell ref="B63:B64"/>
    <mergeCell ref="D65:D66"/>
    <mergeCell ref="B73:B74"/>
    <mergeCell ref="B75:B76"/>
    <mergeCell ref="D41:D42"/>
    <mergeCell ref="B35:B36"/>
    <mergeCell ref="B37:B38"/>
    <mergeCell ref="B39:B40"/>
    <mergeCell ref="B41:B42"/>
    <mergeCell ref="D10:D11"/>
    <mergeCell ref="D12:D13"/>
    <mergeCell ref="D14:D15"/>
    <mergeCell ref="D33:D34"/>
    <mergeCell ref="D25:D26"/>
    <mergeCell ref="B25:B26"/>
    <mergeCell ref="D30:D31"/>
    <mergeCell ref="B30:B31"/>
    <mergeCell ref="D35:D36"/>
    <mergeCell ref="D37:D38"/>
    <mergeCell ref="D39:D40"/>
    <mergeCell ref="D16:D17"/>
    <mergeCell ref="D23:D24"/>
    <mergeCell ref="B16:B17"/>
    <mergeCell ref="B23:B24"/>
    <mergeCell ref="B33:B34"/>
    <mergeCell ref="B21:B22"/>
    <mergeCell ref="D21:D22"/>
    <mergeCell ref="B4:B5"/>
    <mergeCell ref="B6:B7"/>
    <mergeCell ref="B8:B9"/>
    <mergeCell ref="B10:B11"/>
    <mergeCell ref="B12:B13"/>
    <mergeCell ref="B14:B15"/>
    <mergeCell ref="B18:B19"/>
    <mergeCell ref="L4:L5"/>
    <mergeCell ref="L6:L7"/>
    <mergeCell ref="E6:E7"/>
    <mergeCell ref="F8:F9"/>
    <mergeCell ref="G8:G9"/>
    <mergeCell ref="H8:H9"/>
    <mergeCell ref="D18:D19"/>
    <mergeCell ref="D6:D7"/>
    <mergeCell ref="C3:C24"/>
    <mergeCell ref="D4:D5"/>
    <mergeCell ref="D8:D9"/>
    <mergeCell ref="I8:I9"/>
    <mergeCell ref="J8:J9"/>
    <mergeCell ref="K8:K9"/>
    <mergeCell ref="L8:L9"/>
    <mergeCell ref="F12:F13"/>
    <mergeCell ref="G12:G13"/>
    <mergeCell ref="M39:M40"/>
    <mergeCell ref="M41:M42"/>
    <mergeCell ref="M43:M44"/>
    <mergeCell ref="M45:M46"/>
    <mergeCell ref="M47:M48"/>
    <mergeCell ref="M73:M74"/>
    <mergeCell ref="M85:M86"/>
    <mergeCell ref="M87:M88"/>
    <mergeCell ref="M75:M76"/>
    <mergeCell ref="M77:M78"/>
    <mergeCell ref="M71:M72"/>
    <mergeCell ref="M49:M50"/>
    <mergeCell ref="M51:M52"/>
    <mergeCell ref="M53:M54"/>
    <mergeCell ref="M55:M56"/>
    <mergeCell ref="M57:M58"/>
    <mergeCell ref="M63:M64"/>
    <mergeCell ref="M61:M62"/>
    <mergeCell ref="M79:M80"/>
    <mergeCell ref="L45:L46"/>
    <mergeCell ref="K41:K42"/>
    <mergeCell ref="H4:H5"/>
    <mergeCell ref="J4:J5"/>
    <mergeCell ref="I4:I5"/>
    <mergeCell ref="J6:J7"/>
    <mergeCell ref="H6:H7"/>
    <mergeCell ref="I6:I7"/>
    <mergeCell ref="K4:K5"/>
    <mergeCell ref="K6:K7"/>
    <mergeCell ref="H10:H11"/>
    <mergeCell ref="I10:I11"/>
    <mergeCell ref="J10:J11"/>
    <mergeCell ref="K10:K11"/>
    <mergeCell ref="L10:L11"/>
    <mergeCell ref="H12:H13"/>
    <mergeCell ref="I12:I13"/>
    <mergeCell ref="J12:J13"/>
    <mergeCell ref="K12:K13"/>
    <mergeCell ref="L12:L13"/>
    <mergeCell ref="L21:L22"/>
    <mergeCell ref="H14:H15"/>
    <mergeCell ref="J14:J15"/>
    <mergeCell ref="K14:K15"/>
    <mergeCell ref="L14:L15"/>
    <mergeCell ref="I14:I15"/>
    <mergeCell ref="H18:H19"/>
    <mergeCell ref="I18:I19"/>
    <mergeCell ref="J18:J19"/>
    <mergeCell ref="K18:K19"/>
    <mergeCell ref="L18:L19"/>
    <mergeCell ref="H16:H17"/>
    <mergeCell ref="J16:J17"/>
    <mergeCell ref="K16:K17"/>
    <mergeCell ref="L16:L17"/>
    <mergeCell ref="I16:I17"/>
    <mergeCell ref="H47:H48"/>
    <mergeCell ref="J30:J31"/>
    <mergeCell ref="L30:L31"/>
    <mergeCell ref="H30:H31"/>
    <mergeCell ref="I30:I31"/>
    <mergeCell ref="I35:I36"/>
    <mergeCell ref="L35:L36"/>
    <mergeCell ref="J35:J36"/>
    <mergeCell ref="H35:H36"/>
    <mergeCell ref="K35:K36"/>
    <mergeCell ref="J37:J38"/>
    <mergeCell ref="K37:K38"/>
    <mergeCell ref="L37:L38"/>
    <mergeCell ref="I37:I38"/>
    <mergeCell ref="H37:H38"/>
    <mergeCell ref="H39:H40"/>
    <mergeCell ref="I39:I40"/>
    <mergeCell ref="J39:J40"/>
    <mergeCell ref="K39:K40"/>
    <mergeCell ref="L39:L40"/>
    <mergeCell ref="K30:K31"/>
    <mergeCell ref="J41:J42"/>
    <mergeCell ref="J45:J46"/>
    <mergeCell ref="K45:K46"/>
    <mergeCell ref="L41:L42"/>
    <mergeCell ref="I47:I48"/>
    <mergeCell ref="J47:J48"/>
    <mergeCell ref="K47:K48"/>
    <mergeCell ref="L47:L48"/>
    <mergeCell ref="L65:L66"/>
    <mergeCell ref="L67:L68"/>
    <mergeCell ref="I61:I62"/>
    <mergeCell ref="I63:I64"/>
    <mergeCell ref="K61:K62"/>
    <mergeCell ref="K63:K64"/>
    <mergeCell ref="J61:J62"/>
    <mergeCell ref="I49:I50"/>
    <mergeCell ref="J55:J56"/>
    <mergeCell ref="K49:K50"/>
    <mergeCell ref="L49:L50"/>
    <mergeCell ref="I51:I52"/>
    <mergeCell ref="J51:J52"/>
    <mergeCell ref="K51:K52"/>
    <mergeCell ref="L51:L52"/>
    <mergeCell ref="J53:J54"/>
    <mergeCell ref="I53:I54"/>
    <mergeCell ref="K53:K54"/>
    <mergeCell ref="L53:L54"/>
    <mergeCell ref="J49:J50"/>
    <mergeCell ref="H65:H66"/>
    <mergeCell ref="H67:H68"/>
    <mergeCell ref="I57:I58"/>
    <mergeCell ref="I65:I66"/>
    <mergeCell ref="I67:I68"/>
    <mergeCell ref="J57:J58"/>
    <mergeCell ref="J65:J66"/>
    <mergeCell ref="J67:J68"/>
    <mergeCell ref="H95:H96"/>
    <mergeCell ref="I87:I88"/>
    <mergeCell ref="K79:K80"/>
    <mergeCell ref="L79:L80"/>
    <mergeCell ref="H79:H80"/>
    <mergeCell ref="I79:I80"/>
    <mergeCell ref="J79:J80"/>
    <mergeCell ref="H99:H100"/>
    <mergeCell ref="J95:J96"/>
    <mergeCell ref="J99:J100"/>
    <mergeCell ref="K95:K96"/>
    <mergeCell ref="L95:L96"/>
    <mergeCell ref="K99:K100"/>
    <mergeCell ref="L99:L100"/>
    <mergeCell ref="H89:H90"/>
    <mergeCell ref="H91:H92"/>
    <mergeCell ref="J89:J90"/>
    <mergeCell ref="K89:K90"/>
    <mergeCell ref="L89:L90"/>
    <mergeCell ref="J91:J92"/>
    <mergeCell ref="K91:K92"/>
    <mergeCell ref="L91:L92"/>
    <mergeCell ref="H93:H94"/>
    <mergeCell ref="J93:J94"/>
    <mergeCell ref="K93:K94"/>
    <mergeCell ref="L93:L94"/>
    <mergeCell ref="I89:I90"/>
    <mergeCell ref="I91:I92"/>
    <mergeCell ref="I93:I94"/>
    <mergeCell ref="I95:I96"/>
    <mergeCell ref="I99:I100"/>
    <mergeCell ref="J101:J102"/>
    <mergeCell ref="K101:K102"/>
    <mergeCell ref="L101:L102"/>
    <mergeCell ref="I101:I102"/>
    <mergeCell ref="H101:H102"/>
    <mergeCell ref="J103:J104"/>
    <mergeCell ref="H103:H104"/>
    <mergeCell ref="I103:I104"/>
    <mergeCell ref="K103:K104"/>
    <mergeCell ref="L103:L104"/>
    <mergeCell ref="J105:J106"/>
    <mergeCell ref="H105:H106"/>
    <mergeCell ref="I105:I106"/>
    <mergeCell ref="L105:L106"/>
    <mergeCell ref="K105:K106"/>
    <mergeCell ref="H111:H112"/>
    <mergeCell ref="I111:I112"/>
    <mergeCell ref="J111:J112"/>
    <mergeCell ref="K111:K112"/>
    <mergeCell ref="L111:L112"/>
    <mergeCell ref="K113:K114"/>
    <mergeCell ref="L113:L114"/>
    <mergeCell ref="J115:J116"/>
    <mergeCell ref="I115:I116"/>
    <mergeCell ref="L115:L116"/>
    <mergeCell ref="K115:K116"/>
    <mergeCell ref="H115:H116"/>
    <mergeCell ref="J125:J126"/>
    <mergeCell ref="K125:K126"/>
    <mergeCell ref="L125:L126"/>
    <mergeCell ref="L119:L120"/>
    <mergeCell ref="H121:H122"/>
    <mergeCell ref="J123:J124"/>
    <mergeCell ref="K123:K124"/>
    <mergeCell ref="L123:L124"/>
    <mergeCell ref="K119:K120"/>
    <mergeCell ref="J119:J120"/>
    <mergeCell ref="H123:H124"/>
    <mergeCell ref="I123:I124"/>
    <mergeCell ref="L131:L132"/>
    <mergeCell ref="J131:J132"/>
    <mergeCell ref="K131:K132"/>
    <mergeCell ref="H131:H132"/>
    <mergeCell ref="H133:H134"/>
    <mergeCell ref="I133:I134"/>
    <mergeCell ref="J133:J134"/>
    <mergeCell ref="K133:K134"/>
    <mergeCell ref="K143:K144"/>
    <mergeCell ref="I141:I142"/>
    <mergeCell ref="H141:H142"/>
    <mergeCell ref="L141:L142"/>
    <mergeCell ref="H143:H144"/>
    <mergeCell ref="I143:I144"/>
    <mergeCell ref="L143:L144"/>
    <mergeCell ref="J141:J142"/>
    <mergeCell ref="J143:J144"/>
    <mergeCell ref="K141:K142"/>
    <mergeCell ref="J139:J140"/>
    <mergeCell ref="K139:K140"/>
    <mergeCell ref="L139:L140"/>
    <mergeCell ref="M4:M5"/>
    <mergeCell ref="M6:M7"/>
    <mergeCell ref="M8:M9"/>
    <mergeCell ref="M10:M11"/>
    <mergeCell ref="M12:M13"/>
    <mergeCell ref="M14:M15"/>
    <mergeCell ref="O4:O5"/>
    <mergeCell ref="P6:P7"/>
    <mergeCell ref="O8:O9"/>
    <mergeCell ref="O10:O11"/>
    <mergeCell ref="O12:O13"/>
    <mergeCell ref="P14:P15"/>
    <mergeCell ref="O6:O7"/>
    <mergeCell ref="O14:O15"/>
    <mergeCell ref="N39:N40"/>
    <mergeCell ref="N41:N42"/>
    <mergeCell ref="N23:N24"/>
    <mergeCell ref="N28:N29"/>
    <mergeCell ref="P16:P17"/>
    <mergeCell ref="N4:N5"/>
    <mergeCell ref="N6:N7"/>
    <mergeCell ref="N8:N9"/>
    <mergeCell ref="N10:N11"/>
    <mergeCell ref="N12:N13"/>
    <mergeCell ref="N14:N15"/>
    <mergeCell ref="N16:N17"/>
    <mergeCell ref="P18:P19"/>
    <mergeCell ref="O21:O22"/>
    <mergeCell ref="O23:O24"/>
    <mergeCell ref="O25:O26"/>
    <mergeCell ref="O30:O31"/>
    <mergeCell ref="O33:O34"/>
    <mergeCell ref="P35:P36"/>
    <mergeCell ref="O37:O38"/>
    <mergeCell ref="O39:O40"/>
    <mergeCell ref="O28:O29"/>
    <mergeCell ref="O41:O42"/>
    <mergeCell ref="O16:O17"/>
    <mergeCell ref="N77:N78"/>
    <mergeCell ref="N81:N82"/>
    <mergeCell ref="N43:N44"/>
    <mergeCell ref="N45:N46"/>
    <mergeCell ref="N47:N48"/>
    <mergeCell ref="N49:N50"/>
    <mergeCell ref="N51:N52"/>
    <mergeCell ref="N53:N54"/>
    <mergeCell ref="N55:N56"/>
    <mergeCell ref="N57:N58"/>
    <mergeCell ref="N61:N62"/>
    <mergeCell ref="N59:N60"/>
    <mergeCell ref="N79:N80"/>
    <mergeCell ref="N63:N64"/>
    <mergeCell ref="N65:N66"/>
    <mergeCell ref="N67:N68"/>
    <mergeCell ref="N69:N70"/>
    <mergeCell ref="N71:N72"/>
    <mergeCell ref="N73:N74"/>
    <mergeCell ref="N75:N76"/>
    <mergeCell ref="N139:N140"/>
    <mergeCell ref="N141:N142"/>
    <mergeCell ref="N143:N144"/>
    <mergeCell ref="N121:N122"/>
    <mergeCell ref="N123:N124"/>
    <mergeCell ref="N125:N126"/>
    <mergeCell ref="N127:N128"/>
    <mergeCell ref="N129:N130"/>
    <mergeCell ref="N131:N132"/>
    <mergeCell ref="N133:N134"/>
    <mergeCell ref="N135:N136"/>
    <mergeCell ref="N137:N138"/>
    <mergeCell ref="E8:E9"/>
    <mergeCell ref="E12:E13"/>
    <mergeCell ref="D28:D29"/>
    <mergeCell ref="H28:H29"/>
    <mergeCell ref="I28:I29"/>
    <mergeCell ref="J28:J29"/>
    <mergeCell ref="K28:K29"/>
    <mergeCell ref="L28:L29"/>
    <mergeCell ref="M28:M29"/>
    <mergeCell ref="M16:M17"/>
    <mergeCell ref="H23:H24"/>
    <mergeCell ref="I23:I24"/>
    <mergeCell ref="J23:J24"/>
    <mergeCell ref="K23:K24"/>
    <mergeCell ref="L23:L24"/>
    <mergeCell ref="H25:H26"/>
    <mergeCell ref="I25:I26"/>
    <mergeCell ref="J25:J26"/>
    <mergeCell ref="K25:K26"/>
    <mergeCell ref="L25:L26"/>
    <mergeCell ref="H21:H22"/>
    <mergeCell ref="I21:I22"/>
    <mergeCell ref="J21:J22"/>
    <mergeCell ref="K21:K22"/>
    <mergeCell ref="E33:E34"/>
    <mergeCell ref="G33:G34"/>
    <mergeCell ref="F33:F34"/>
    <mergeCell ref="I59:I60"/>
    <mergeCell ref="H59:H60"/>
    <mergeCell ref="J59:J60"/>
    <mergeCell ref="K59:K60"/>
    <mergeCell ref="L59:L60"/>
    <mergeCell ref="M59:M60"/>
    <mergeCell ref="H55:H56"/>
    <mergeCell ref="I55:I56"/>
    <mergeCell ref="K55:K56"/>
    <mergeCell ref="L55:L56"/>
    <mergeCell ref="H57:H58"/>
    <mergeCell ref="L57:L58"/>
    <mergeCell ref="I41:I42"/>
    <mergeCell ref="H41:H42"/>
    <mergeCell ref="J43:J44"/>
    <mergeCell ref="K43:K44"/>
    <mergeCell ref="L43:L44"/>
    <mergeCell ref="I43:I44"/>
    <mergeCell ref="H43:H44"/>
    <mergeCell ref="H45:H46"/>
    <mergeCell ref="I45:I46"/>
    <mergeCell ref="G6:G7"/>
    <mergeCell ref="F6:F7"/>
    <mergeCell ref="H97:H98"/>
    <mergeCell ref="I97:I98"/>
    <mergeCell ref="J97:J98"/>
    <mergeCell ref="K97:K98"/>
    <mergeCell ref="L97:L98"/>
    <mergeCell ref="M97:M98"/>
    <mergeCell ref="N97:N98"/>
    <mergeCell ref="M23:M24"/>
    <mergeCell ref="N83:N84"/>
    <mergeCell ref="N85:N86"/>
    <mergeCell ref="N87:N88"/>
    <mergeCell ref="N89:N90"/>
    <mergeCell ref="N91:N92"/>
    <mergeCell ref="N93:N94"/>
    <mergeCell ref="N95:N96"/>
    <mergeCell ref="N18:N19"/>
    <mergeCell ref="N21:N22"/>
    <mergeCell ref="N25:N26"/>
    <mergeCell ref="N30:N31"/>
    <mergeCell ref="N33:N34"/>
    <mergeCell ref="N35:N36"/>
    <mergeCell ref="N37:N38"/>
  </mergeCells>
  <phoneticPr fontId="9" type="noConversion"/>
  <dataValidations xWindow="932" yWindow="681" count="19">
    <dataValidation type="decimal" showInputMessage="1" showErrorMessage="1" errorTitle="مقدار صحیح نمی باشد." error="همکار محترم لطفا مقدار عددی بین 0 تا 12 وارد نمایید" sqref="I3">
      <formula1>0</formula1>
      <formula2>14</formula2>
    </dataValidation>
    <dataValidation type="decimal" allowBlank="1" showErrorMessage="1" sqref="I6:I7">
      <formula1>0</formula1>
      <formula2>7</formula2>
    </dataValidation>
    <dataValidation type="whole" allowBlank="1" showInputMessage="1" showErrorMessage="1" error="همکار محترم لطفا مقدار عددی بین 0 تا 12 وارد نمایید" sqref="G3">
      <formula1>0</formula1>
      <formula2>12</formula2>
    </dataValidation>
    <dataValidation type="whole" allowBlank="1" showInputMessage="1" showErrorMessage="1" error="همکار محترم لطفا مقدار عددی وارد نمایید" sqref="G4">
      <formula1>0</formula1>
      <formula2>10000</formula2>
    </dataValidation>
    <dataValidation type="list" showInputMessage="1" showErrorMessage="1" prompt="با توجه به نحوه پرداخت کارانه پلکانی، یکی از گزینه ها را انتخاب نمایید" sqref="G20">
      <formula1>karane</formula1>
    </dataValidation>
    <dataValidation type="whole" allowBlank="1" showInputMessage="1" showErrorMessage="1" error="همکار محترم لطفا مقدار عددی وارد نمایید" sqref="F18:F19">
      <formula1>0</formula1>
      <formula2>1E+32</formula2>
    </dataValidation>
    <dataValidation type="whole" allowBlank="1" showInputMessage="1" showErrorMessage="1" error="همکار محترم لطفا مقدار عددی وارد نمایید" sqref="F21:G22">
      <formula1>0</formula1>
      <formula2>1000000000000000</formula2>
    </dataValidation>
    <dataValidation type="whole" allowBlank="1" showInputMessage="1" showErrorMessage="1" error="همکار محترم لطفا مقدار عددی وارد نمایید" sqref="G5 G12:G17 F10:G11 F12:F13">
      <formula1>0</formula1>
      <formula2>100000000000</formula2>
    </dataValidation>
    <dataValidation type="decimal" allowBlank="1" showInputMessage="1" showErrorMessage="1" error="همکار محترم لطفا مقدار عددی وارد نمایید" sqref="F8:G9">
      <formula1>-2</formula1>
      <formula2>7</formula2>
    </dataValidation>
    <dataValidation type="whole" allowBlank="1" showInputMessage="1" showErrorMessage="1" error="همکار محترم لطفا مقدار عددی وارد نمایید" sqref="G23:G32">
      <formula1>0</formula1>
      <formula2>1000000000000</formula2>
    </dataValidation>
    <dataValidation type="whole" allowBlank="1" showInputMessage="1" showErrorMessage="1" error="همکار محترم لطفا مقدار عددی وارد نمایید" promptTitle="نکته" prompt="در صورت عدم وجود مرکز خصوصی ناباروری در دانشگاه/دانشکده، لطفا در ملاحظات یادداشت بفرمایید" sqref="E55:G56">
      <formula1>0</formula1>
      <formula2>10000000000000000</formula2>
    </dataValidation>
    <dataValidation type="whole" allowBlank="1" showErrorMessage="1" error="همکار محترم لطفا مقدار عددی وارد نمایید" sqref="F77:F78 G73:G104 G57:G70">
      <formula1>0</formula1>
      <formula2>10000000000000</formula2>
    </dataValidation>
    <dataValidation type="whole" allowBlank="1" showInputMessage="1" showErrorMessage="1" error="همکار محترم لطفا مقدار عددی وارد نمایید" sqref="F105:F106 G105:G122 G125:G138 G141:G143 G145:G146">
      <formula1>0</formula1>
      <formula2>10000000000000</formula2>
    </dataValidation>
    <dataValidation type="list" allowBlank="1" showInputMessage="1" showErrorMessage="1" prompt="با توجه به نحوه اتصال و تعریف کاربران واجد شرایط در سامانه باروری سالم، یکی از گزینه ها را انتخاب نمایید" sqref="G71:G72">
      <formula1>iman</formula1>
    </dataValidation>
    <dataValidation type="list" allowBlank="1" showInputMessage="1" showErrorMessage="1" prompt="با توجه به جذب یا عدم جذب اعتبار مربوطه، یکی از گزینه ها را انتخاب نمایید" sqref="G123:G124">
      <formula1>etebar</formula1>
    </dataValidation>
    <dataValidation type="list" allowBlank="1" showInputMessage="1" showErrorMessage="1" error="همکار محترم لطفا مقدار عددی وارد نمایید" prompt="با توجه به وضعیت راه اندازی مراکز نفس یکی از گزینه ها را انتخاب نمایید" sqref="G139:G140">
      <formula1>nafaas</formula1>
    </dataValidation>
    <dataValidation type="whole" allowBlank="1" showInputMessage="1" showErrorMessage="1" error="همکار محترم لطفا مقدار عددی وارد نمایید" sqref="F37:F38">
      <formula1>0</formula1>
      <formula2>1000000000</formula2>
    </dataValidation>
    <dataValidation type="whole" allowBlank="1" showInputMessage="1" showErrorMessage="1" error="همکار محترم لطفا مقدار عددی بین 0 تا 7 وارد نمایید" prompt="لطفا تعداد تکالیف انجام شده را طبق نامه های شماره 212/1197 و 300/1639 و 300/12791 د، _x000a_از بین 0 تا 7 وارد نمایید" sqref="G6:G7">
      <formula1>0</formula1>
      <formula2>7</formula2>
    </dataValidation>
    <dataValidation type="decimal" allowBlank="1" showInputMessage="1" showErrorMessage="1" error="همکار محترم لطفا مقدار عددی وارد نمایید" promptTitle="توجه شود" prompt="همکار محترم_x000a_باید عددی بین 0 تا 5 را انتخاب کنید. بر اساس 5 مورد قید شده، چند مورد را انجام داده اید؟ " sqref="G33:G34">
      <formula1>0</formula1>
      <formula2>5</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9"/>
  <sheetViews>
    <sheetView rightToLeft="1" topLeftCell="A14" zoomScale="85" zoomScaleNormal="85" workbookViewId="0">
      <selection activeCell="F20" sqref="F20"/>
    </sheetView>
  </sheetViews>
  <sheetFormatPr defaultRowHeight="14.25"/>
  <cols>
    <col min="5" max="5" width="28" customWidth="1"/>
    <col min="6" max="6" width="19.875" customWidth="1"/>
    <col min="8" max="8" width="15" customWidth="1"/>
    <col min="9" max="9" width="12.875" customWidth="1"/>
  </cols>
  <sheetData>
    <row r="5" spans="1:13" ht="32.450000000000003" customHeight="1">
      <c r="A5" s="369" t="s">
        <v>88</v>
      </c>
      <c r="B5" s="369"/>
      <c r="C5" s="369"/>
      <c r="D5" s="369"/>
      <c r="E5" s="369"/>
      <c r="F5" s="369"/>
      <c r="G5" s="369"/>
      <c r="H5" s="369"/>
      <c r="I5" s="369"/>
      <c r="J5" s="369"/>
      <c r="K5" s="369"/>
      <c r="L5" s="369"/>
      <c r="M5" s="369"/>
    </row>
    <row r="6" spans="1:13" ht="69" customHeight="1" thickBot="1">
      <c r="I6" s="103"/>
      <c r="J6" s="126"/>
    </row>
    <row r="7" spans="1:13" ht="58.5" customHeight="1" thickBot="1">
      <c r="F7" s="380" t="s">
        <v>82</v>
      </c>
      <c r="G7" s="381"/>
      <c r="H7" s="359" t="s">
        <v>83</v>
      </c>
      <c r="I7" s="360"/>
      <c r="J7" s="126"/>
    </row>
    <row r="8" spans="1:13" ht="67.5" customHeight="1" thickBot="1">
      <c r="D8" s="374" t="s">
        <v>327</v>
      </c>
      <c r="E8" s="366"/>
      <c r="F8" s="375">
        <f>SUM('فرم کارنامه'!M3:M15,'فرم کارنامه'!M18:M96,'فرم کارنامه'!M99:M104,'فرم کارنامه'!M105:M120,'فرم کارنامه'!M125:M134,'فرم کارنامه'!M137,'فرم کارنامه'!M141:M146)</f>
        <v>100</v>
      </c>
      <c r="G8" s="376"/>
      <c r="H8" s="378" t="e">
        <f>SUM('فرم کارنامه'!N3:N15,'فرم کارنامه'!N18:N96,'فرم کارنامه'!N99:N120,'فرم کارنامه'!N125:N134,'فرم کارنامه'!N137,'فرم کارنامه'!N141:N146)</f>
        <v>#DIV/0!</v>
      </c>
      <c r="I8" s="379"/>
      <c r="J8" s="126"/>
    </row>
    <row r="9" spans="1:13" ht="57" customHeight="1" thickBot="1">
      <c r="D9" s="374" t="s">
        <v>328</v>
      </c>
      <c r="E9" s="366"/>
      <c r="F9" s="377">
        <f>SUM('فرم کارنامه'!M3:M146)</f>
        <v>107</v>
      </c>
      <c r="G9" s="376"/>
      <c r="H9" s="378" t="e">
        <f>SUM('فرم کارنامه'!N3:N146)</f>
        <v>#DIV/0!</v>
      </c>
      <c r="I9" s="379"/>
      <c r="J9" s="126"/>
    </row>
    <row r="10" spans="1:13" ht="20.25">
      <c r="I10" s="103"/>
      <c r="J10" s="126"/>
    </row>
    <row r="11" spans="1:13" ht="20.25">
      <c r="I11" s="103"/>
      <c r="J11" s="126"/>
    </row>
    <row r="12" spans="1:13" ht="20.25">
      <c r="I12" s="103"/>
      <c r="J12" s="126"/>
    </row>
    <row r="13" spans="1:13" ht="20.25">
      <c r="I13" s="103"/>
      <c r="J13" s="126"/>
    </row>
    <row r="14" spans="1:13" ht="21" thickBot="1">
      <c r="I14" s="103"/>
      <c r="J14" s="126"/>
    </row>
    <row r="15" spans="1:13" ht="29.25" thickBot="1">
      <c r="D15" s="363"/>
      <c r="E15" s="364"/>
      <c r="F15" s="123" t="s">
        <v>82</v>
      </c>
      <c r="G15" s="365" t="s">
        <v>83</v>
      </c>
      <c r="H15" s="366"/>
      <c r="I15" s="103"/>
      <c r="J15" s="126"/>
    </row>
    <row r="16" spans="1:13" ht="29.25" thickBot="1">
      <c r="D16" s="359" t="s">
        <v>75</v>
      </c>
      <c r="E16" s="360"/>
      <c r="F16" s="6">
        <f>SUM('فرم کارنامه'!M3:M24)</f>
        <v>21.5</v>
      </c>
      <c r="G16" s="367" t="e">
        <f>SUM('فرم کارنامه'!N3:N24)</f>
        <v>#DIV/0!</v>
      </c>
      <c r="H16" s="368"/>
      <c r="I16" s="103"/>
      <c r="J16" s="126"/>
    </row>
    <row r="17" spans="4:10" ht="29.25" thickBot="1">
      <c r="D17" s="359" t="s">
        <v>96</v>
      </c>
      <c r="E17" s="360"/>
      <c r="F17" s="4">
        <f>SUM('فرم کارنامه'!M111,'فرم کارنامه'!M87)</f>
        <v>2</v>
      </c>
      <c r="G17" s="361" t="e">
        <f>SUM('فرم کارنامه'!N87,'فرم کارنامه'!N111)</f>
        <v>#DIV/0!</v>
      </c>
      <c r="H17" s="362"/>
      <c r="I17" s="103"/>
      <c r="J17" s="126"/>
    </row>
    <row r="18" spans="4:10" ht="29.25" thickBot="1">
      <c r="D18" s="359" t="s">
        <v>58</v>
      </c>
      <c r="E18" s="360"/>
      <c r="F18" s="4">
        <f>SUM('فرم کارنامه'!M33,'فرم کارنامه'!M39,'فرم کارنامه'!M43:M46,'فرم کارنامه'!M51,'فرم کارنامه'!M53,'فرم کارنامه'!M57,'فرم کارنامه'!M61,'فرم کارنامه'!M63,'فرم کارنامه'!M67,'فرم کارنامه'!M75,'فرم کارنامه'!M77,'فرم کارنامه'!M79:M84,'فرم کارنامه'!M133,'فرم کارنامه'!M135,'فرم کارنامه'!M139,'فرم کارنامه'!M145:M146)</f>
        <v>24.5</v>
      </c>
      <c r="G18" s="361" t="e">
        <f>SUM('فرم کارنامه'!N33,'فرم کارنامه'!N39,'فرم کارنامه'!N43,'فرم کارنامه'!N45,'فرم کارنامه'!N51,'فرم کارنامه'!N53,'فرم کارنامه'!N57,'فرم کارنامه'!N63,'فرم کارنامه'!N67,'فرم کارنامه'!N71,'فرم کارنامه'!N75,'فرم کارنامه'!N77,'فرم کارنامه'!N79:N84,'فرم کارنامه'!N133,'فرم کارنامه'!N135,'فرم کارنامه'!N139,'فرم کارنامه'!N145:N146)</f>
        <v>#DIV/0!</v>
      </c>
      <c r="H18" s="362"/>
      <c r="I18" s="103"/>
      <c r="J18" s="126"/>
    </row>
    <row r="19" spans="4:10" ht="29.25" thickBot="1">
      <c r="D19" s="359" t="s">
        <v>56</v>
      </c>
      <c r="E19" s="360"/>
      <c r="F19" s="4">
        <f>SUM('فرم کارنامه'!M35:M38,'فرم کارنامه'!M41,'فرم کارنامه'!M47,'فرم کارنامه'!M49,'فرم کارنامه'!M55,'فرم کارنامه'!M57,'فرم کارنامه'!M59,'فرم کارنامه'!M65,'فرم کارنامه'!M69,'فرم کارنامه'!M71,'فرم کارنامه'!M73,'فرم کارنامه'!M89,'فرم کارنامه'!M91,'فرم کارنامه'!M103,'فرم کارنامه'!M131,'فرم کارنامه'!M137,'فرم کارنامه'!M143,'فرم کارنامه'!M146)</f>
        <v>30</v>
      </c>
      <c r="G19" s="361" t="e">
        <f>SUM('فرم کارنامه'!N35:N38,'فرم کارنامه'!N41,'فرم کارنامه'!N47,'فرم کارنامه'!N49,'فرم کارنامه'!N55,'فرم کارنامه'!N57,'فرم کارنامه'!N59,'فرم کارنامه'!N61,'فرم کارنامه'!N65,'فرم کارنامه'!N69,'فرم کارنامه'!N71,'فرم کارنامه'!N73,'فرم کارنامه'!N89,'فرم کارنامه'!N91,'فرم کارنامه'!N103,'فرم کارنامه'!N131,'فرم کارنامه'!N137,'فرم کارنامه'!N143,'فرم کارنامه'!N146)</f>
        <v>#DIV/0!</v>
      </c>
      <c r="H19" s="362"/>
      <c r="I19" s="103"/>
      <c r="J19" s="126"/>
    </row>
    <row r="20" spans="4:10" ht="29.25" thickBot="1">
      <c r="D20" s="359" t="s">
        <v>79</v>
      </c>
      <c r="E20" s="360"/>
      <c r="F20" s="4">
        <f>SUM('فرم کارنامه'!M141)</f>
        <v>2</v>
      </c>
      <c r="G20" s="361" t="e">
        <f>SUM('فرم کارنامه'!N141)</f>
        <v>#DIV/0!</v>
      </c>
      <c r="H20" s="362"/>
      <c r="I20" s="103"/>
      <c r="J20" s="126"/>
    </row>
    <row r="21" spans="4:10" ht="29.25" thickBot="1">
      <c r="D21" s="359" t="s">
        <v>78</v>
      </c>
      <c r="E21" s="360"/>
      <c r="F21" s="4">
        <f>SUM('فرم کارنامه'!M101,'فرم کارنامه'!M87,'فرم کارنامه'!M146)</f>
        <v>4.5</v>
      </c>
      <c r="G21" s="361" t="e">
        <f>SUM('فرم کارنامه'!N101,'فرم کارنامه'!N87,'فرم کارنامه'!N146)</f>
        <v>#DIV/0!</v>
      </c>
      <c r="H21" s="362"/>
      <c r="I21" s="103"/>
      <c r="J21" s="126"/>
    </row>
    <row r="22" spans="4:10" ht="29.25" thickBot="1">
      <c r="D22" s="359" t="s">
        <v>76</v>
      </c>
      <c r="E22" s="360"/>
      <c r="F22" s="4">
        <f>SUM('فرم کارنامه'!M131,'فرم کارنامه'!M146)</f>
        <v>3.5</v>
      </c>
      <c r="G22" s="361" t="e">
        <f>SUM('فرم کارنامه'!N131,'فرم کارنامه'!N146)</f>
        <v>#DIV/0!</v>
      </c>
      <c r="H22" s="362"/>
      <c r="I22" s="103"/>
      <c r="J22" s="126"/>
    </row>
    <row r="23" spans="4:10" ht="29.25" thickBot="1">
      <c r="D23" s="359" t="s">
        <v>66</v>
      </c>
      <c r="E23" s="360"/>
      <c r="F23" s="4">
        <f>SUM('فرم کارنامه'!M125,'فرم کارنامه'!M113:M124,'فرم کارنامه'!M105:M110,'فرم کارنامه'!M103,'فرم کارنامه'!M85,'فرم کارنامه'!M146)</f>
        <v>18</v>
      </c>
      <c r="G23" s="361" t="e">
        <f>SUM('فرم کارنامه'!N125,'فرم کارنامه'!N123,'فرم کارنامه'!N121,'فرم کارنامه'!N119,'فرم کارنامه'!N117,'فرم کارنامه'!N115,'فرم کارنامه'!N113,'فرم کارنامه'!N109,'فرم کارنامه'!N107,'فرم کارنامه'!N105,'فرم کارنامه'!N103,'فرم کارنامه'!N85,'فرم کارنامه'!N146)</f>
        <v>#DIV/0!</v>
      </c>
      <c r="H23" s="362"/>
      <c r="I23" s="103"/>
      <c r="J23" s="126"/>
    </row>
    <row r="24" spans="4:10" ht="29.25" thickBot="1">
      <c r="D24" s="359" t="s">
        <v>55</v>
      </c>
      <c r="E24" s="360"/>
      <c r="F24" s="4">
        <f>SUM('فرم کارنامه'!M25:M32,'فرم کارنامه'!M146)</f>
        <v>7</v>
      </c>
      <c r="G24" s="361" t="e">
        <f>SUM('فرم کارنامه'!N25,'فرم کارنامه'!N27,'فرم کارنامه'!N30,'فرم کارنامه'!N32,'فرم کارنامه'!N28,'فرم کارنامه'!N146)</f>
        <v>#DIV/0!</v>
      </c>
      <c r="H24" s="362"/>
      <c r="I24" s="103"/>
      <c r="J24" s="126"/>
    </row>
    <row r="25" spans="4:10" ht="29.25" thickBot="1">
      <c r="D25" s="359" t="s">
        <v>77</v>
      </c>
      <c r="E25" s="360"/>
      <c r="F25" s="4">
        <f>SUM('فرم کارنامه'!M125,'فرم کارنامه'!M146)</f>
        <v>3</v>
      </c>
      <c r="G25" s="361" t="e">
        <f>SUM('فرم کارنامه'!N125,'فرم کارنامه'!N146)</f>
        <v>#DIV/0!</v>
      </c>
      <c r="H25" s="362"/>
      <c r="I25" s="103"/>
      <c r="J25" s="126"/>
    </row>
    <row r="26" spans="4:10" ht="29.25" thickBot="1">
      <c r="D26" s="359" t="s">
        <v>64</v>
      </c>
      <c r="E26" s="360"/>
      <c r="F26" s="4">
        <f>SUM('فرم کارنامه'!M93,'فرم کارنامه'!M95,'فرم کارنامه'!M97,'فرم کارنامه'!M99)</f>
        <v>5.5</v>
      </c>
      <c r="G26" s="361" t="e">
        <f>SUM('فرم کارنامه'!N93,'فرم کارنامه'!N95,'فرم کارنامه'!N97,'فرم کارنامه'!N99)</f>
        <v>#DIV/0!</v>
      </c>
      <c r="H26" s="362"/>
      <c r="I26" s="103"/>
      <c r="J26" s="126"/>
    </row>
    <row r="27" spans="4:10" ht="29.25" thickBot="1">
      <c r="D27" s="359" t="s">
        <v>85</v>
      </c>
      <c r="E27" s="360"/>
      <c r="F27" s="4">
        <f>SUM('فرم کارنامه'!M127:M130)</f>
        <v>2</v>
      </c>
      <c r="G27" s="361" t="e">
        <f>SUM('فرم کارنامه'!N127:N130)</f>
        <v>#DIV/0!</v>
      </c>
      <c r="H27" s="362"/>
      <c r="I27" s="103"/>
      <c r="J27" s="126"/>
    </row>
    <row r="28" spans="4:10" ht="29.25" thickBot="1">
      <c r="D28" s="359" t="s">
        <v>84</v>
      </c>
      <c r="E28" s="360"/>
      <c r="F28" s="4">
        <f>SUM('فرم کارنامه'!M145)</f>
        <v>1</v>
      </c>
      <c r="G28" s="361">
        <f>SUM('فرم کارنامه'!N145)</f>
        <v>0</v>
      </c>
      <c r="H28" s="362"/>
      <c r="I28" s="103"/>
      <c r="J28" s="126"/>
    </row>
    <row r="29" spans="4:10" ht="29.25" thickBot="1">
      <c r="D29" s="370" t="s">
        <v>87</v>
      </c>
      <c r="E29" s="371"/>
      <c r="F29" s="5">
        <f>SUM('فرم کارنامه'!M65:M74)</f>
        <v>8</v>
      </c>
      <c r="G29" s="372" t="e">
        <f>SUM('فرم کارنامه'!N65:N72)</f>
        <v>#DIV/0!</v>
      </c>
      <c r="H29" s="373"/>
      <c r="I29" s="103"/>
      <c r="J29" s="126"/>
    </row>
  </sheetData>
  <sheetProtection algorithmName="SHA-512" hashValue="dpHsTV2rjbCpCnAUiWqffdSzIyu1aYi1BNrnCEWH88hWITqC7u//SLRDMDvzY0aTCF5KbFgFYIQxuAThQiyPxA==" saltValue="dcHzQ1/bBdiDU7hKQ7XQOw==" spinCount="100000" sheet="1" formatCells="0" formatColumns="0" formatRows="0" insertColumns="0" insertRows="0" insertHyperlinks="0" deleteColumns="0" deleteRows="0" sort="0" autoFilter="0" pivotTables="0"/>
  <mergeCells count="39">
    <mergeCell ref="A5:M5"/>
    <mergeCell ref="D28:E28"/>
    <mergeCell ref="G28:H28"/>
    <mergeCell ref="D29:E29"/>
    <mergeCell ref="G29:H29"/>
    <mergeCell ref="D8:E8"/>
    <mergeCell ref="D9:E9"/>
    <mergeCell ref="F8:G8"/>
    <mergeCell ref="F9:G9"/>
    <mergeCell ref="H9:I9"/>
    <mergeCell ref="H8:I8"/>
    <mergeCell ref="D26:E26"/>
    <mergeCell ref="G26:H26"/>
    <mergeCell ref="D27:E27"/>
    <mergeCell ref="G27:H27"/>
    <mergeCell ref="F7:G7"/>
    <mergeCell ref="H7:I7"/>
    <mergeCell ref="D23:E23"/>
    <mergeCell ref="G23:H23"/>
    <mergeCell ref="D24:E24"/>
    <mergeCell ref="G24:H24"/>
    <mergeCell ref="D17:E17"/>
    <mergeCell ref="G17:H17"/>
    <mergeCell ref="D18:E18"/>
    <mergeCell ref="G18:H18"/>
    <mergeCell ref="D19:E19"/>
    <mergeCell ref="G19:H19"/>
    <mergeCell ref="D15:E15"/>
    <mergeCell ref="G15:H15"/>
    <mergeCell ref="D16:E16"/>
    <mergeCell ref="G16:H16"/>
    <mergeCell ref="D25:E25"/>
    <mergeCell ref="G25:H25"/>
    <mergeCell ref="D20:E20"/>
    <mergeCell ref="G20:H20"/>
    <mergeCell ref="D21:E21"/>
    <mergeCell ref="G21:H21"/>
    <mergeCell ref="D22:E22"/>
    <mergeCell ref="G22: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topLeftCell="B1" workbookViewId="0">
      <selection sqref="A1:A1048576"/>
    </sheetView>
  </sheetViews>
  <sheetFormatPr defaultRowHeight="14.25"/>
  <cols>
    <col min="1" max="1" width="63.125" hidden="1" customWidth="1"/>
  </cols>
  <sheetData>
    <row r="1" spans="1:1">
      <c r="A1" t="s">
        <v>120</v>
      </c>
    </row>
    <row r="2" spans="1:1">
      <c r="A2" t="s">
        <v>119</v>
      </c>
    </row>
    <row r="3" spans="1:1">
      <c r="A3" t="s">
        <v>118</v>
      </c>
    </row>
    <row r="4" spans="1:1">
      <c r="A4" t="s">
        <v>131</v>
      </c>
    </row>
    <row r="11" spans="1:1">
      <c r="A11" t="s">
        <v>199</v>
      </c>
    </row>
    <row r="12" spans="1:1">
      <c r="A12" t="s">
        <v>198</v>
      </c>
    </row>
    <row r="13" spans="1:1">
      <c r="A13" t="s">
        <v>200</v>
      </c>
    </row>
    <row r="14" spans="1:1">
      <c r="A14" t="s">
        <v>272</v>
      </c>
    </row>
    <row r="15" spans="1:1">
      <c r="A15" t="s">
        <v>273</v>
      </c>
    </row>
    <row r="16" spans="1:1">
      <c r="A16" t="s">
        <v>270</v>
      </c>
    </row>
    <row r="17" spans="1:1">
      <c r="A17" t="s">
        <v>271</v>
      </c>
    </row>
    <row r="19" spans="1:1">
      <c r="A19" t="s">
        <v>288</v>
      </c>
    </row>
    <row r="20" spans="1:1">
      <c r="A20" t="s">
        <v>290</v>
      </c>
    </row>
    <row r="21" spans="1:1">
      <c r="A21" t="s">
        <v>291</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A70E8-6594-4412-A3D0-1BDE483236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فرم کارنامه</vt:lpstr>
      <vt:lpstr>نتایج حاصل از خودارزیابی</vt:lpstr>
      <vt:lpstr>Sheet2</vt:lpstr>
      <vt:lpstr>etebar</vt:lpstr>
      <vt:lpstr>iman</vt:lpstr>
      <vt:lpstr>karane</vt:lpstr>
      <vt:lpstr>nafaas</vt:lpstr>
      <vt:lpstr>nafas</vt:lpstr>
      <vt:lpstr>پرداخت_کارانه_پلکانی_صرفا_یکی_از_سال_های_1401_یا_1402</vt:lpstr>
      <vt:lpstr>کارانه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Sobahan Ebrahimpour</dc:creator>
  <cp:lastModifiedBy>Razieh Keikha Moghaddam</cp:lastModifiedBy>
  <cp:lastPrinted>2024-12-14T04:38:42Z</cp:lastPrinted>
  <dcterms:created xsi:type="dcterms:W3CDTF">2024-12-06T03:28:30Z</dcterms:created>
  <dcterms:modified xsi:type="dcterms:W3CDTF">2025-01-13T10:39:29Z</dcterms:modified>
</cp:coreProperties>
</file>